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9. 31 มี.ค. 67\"/>
    </mc:Choice>
  </mc:AlternateContent>
  <xr:revisionPtr revIDLastSave="0" documentId="13_ncr:1_{461F89B6-B031-418D-94E4-3795C7C96CBD}" xr6:coauthVersionLast="37" xr6:coauthVersionMax="37" xr10:uidLastSave="{00000000-0000-0000-0000-000000000000}"/>
  <bookViews>
    <workbookView xWindow="0" yWindow="0" windowWidth="24000" windowHeight="9525" tabRatio="783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กระบี่!$1:$7</definedName>
    <definedName name="_xlnm.Print_Titles" localSheetId="2">ชุมพร!$1:$7</definedName>
    <definedName name="_xlnm.Print_Titles" localSheetId="3">ตรัง!$1:$7</definedName>
    <definedName name="_xlnm.Print_Titles" localSheetId="4">นครศรีธรรมราช!$1:$7</definedName>
    <definedName name="_xlnm.Print_Titles" localSheetId="5">นราธิวาส!$1:$7</definedName>
    <definedName name="_xlnm.Print_Titles" localSheetId="6">ปัตตานี!$1:$7</definedName>
    <definedName name="_xlnm.Print_Titles" localSheetId="7">พังงา!$1:$7</definedName>
    <definedName name="_xlnm.Print_Titles" localSheetId="8">พัทลุง!$1:$7</definedName>
    <definedName name="_xlnm.Print_Titles" localSheetId="9">ภูเก็ต!$1:$7</definedName>
    <definedName name="_xlnm.Print_Titles" localSheetId="10">ยะลา!$1:$7</definedName>
    <definedName name="_xlnm.Print_Titles" localSheetId="0">รวมใต้!$1:$7</definedName>
    <definedName name="_xlnm.Print_Titles" localSheetId="11">ระนอง!$1:$7</definedName>
    <definedName name="_xlnm.Print_Titles" localSheetId="12">สงขลา!$1:$7</definedName>
    <definedName name="_xlnm.Print_Titles" localSheetId="13">สตูล!$1:$7</definedName>
    <definedName name="_xlnm.Print_Titles" localSheetId="14">สุราษฎร์ธานี!$1:$7</definedName>
  </definedNames>
  <calcPr calcId="179021"/>
</workbook>
</file>

<file path=xl/calcChain.xml><?xml version="1.0" encoding="utf-8"?>
<calcChain xmlns="http://schemas.openxmlformats.org/spreadsheetml/2006/main">
  <c r="A790" i="15" l="1"/>
  <c r="A789" i="15"/>
  <c r="J786" i="15"/>
  <c r="I786" i="15"/>
  <c r="J785" i="15"/>
  <c r="I785" i="15"/>
  <c r="J784" i="15"/>
  <c r="I784" i="15"/>
  <c r="J783" i="15"/>
  <c r="I783" i="15"/>
  <c r="J782" i="15"/>
  <c r="I782" i="15"/>
  <c r="K782" i="15" s="1"/>
  <c r="J781" i="15"/>
  <c r="I781" i="15"/>
  <c r="J780" i="15"/>
  <c r="I780" i="15"/>
  <c r="J779" i="15"/>
  <c r="I779" i="15"/>
  <c r="H778" i="15"/>
  <c r="I777" i="15"/>
  <c r="I776" i="15"/>
  <c r="I775" i="15"/>
  <c r="I760" i="15" s="1"/>
  <c r="K760" i="15" s="1"/>
  <c r="I773" i="15"/>
  <c r="K773" i="15" s="1"/>
  <c r="I771" i="15"/>
  <c r="K771" i="15" s="1"/>
  <c r="U769" i="15"/>
  <c r="T769" i="15"/>
  <c r="P769" i="15"/>
  <c r="O769" i="15"/>
  <c r="U768" i="15"/>
  <c r="T768" i="15"/>
  <c r="P768" i="15"/>
  <c r="O768" i="15"/>
  <c r="U767" i="15"/>
  <c r="S767" i="15"/>
  <c r="R767" i="15"/>
  <c r="Q767" i="15"/>
  <c r="T767" i="15" s="1"/>
  <c r="P767" i="15"/>
  <c r="O767" i="15"/>
  <c r="N767" i="15"/>
  <c r="M767" i="15"/>
  <c r="L767" i="15"/>
  <c r="S766" i="15"/>
  <c r="R766" i="15"/>
  <c r="R764" i="15" s="1"/>
  <c r="Q766" i="15"/>
  <c r="Q764" i="15" s="1"/>
  <c r="P766" i="15"/>
  <c r="O766" i="15"/>
  <c r="U765" i="15"/>
  <c r="T765" i="15"/>
  <c r="P765" i="15"/>
  <c r="O765" i="15"/>
  <c r="N764" i="15"/>
  <c r="M764" i="15"/>
  <c r="P764" i="15" s="1"/>
  <c r="L764" i="15"/>
  <c r="O764" i="15" s="1"/>
  <c r="P763" i="15"/>
  <c r="N763" i="15"/>
  <c r="M763" i="15"/>
  <c r="L763" i="15"/>
  <c r="U762" i="15"/>
  <c r="T762" i="15"/>
  <c r="S762" i="15"/>
  <c r="R762" i="15"/>
  <c r="Q762" i="15"/>
  <c r="P762" i="15"/>
  <c r="O762" i="15"/>
  <c r="N762" i="15"/>
  <c r="M762" i="15"/>
  <c r="M761" i="15" s="1"/>
  <c r="P761" i="15" s="1"/>
  <c r="L762" i="15"/>
  <c r="N761" i="15"/>
  <c r="J760" i="15"/>
  <c r="J759" i="15"/>
  <c r="I756" i="15"/>
  <c r="K756" i="15" s="1"/>
  <c r="I753" i="15"/>
  <c r="K753" i="15" s="1"/>
  <c r="I750" i="15"/>
  <c r="K750" i="15" s="1"/>
  <c r="I747" i="15"/>
  <c r="K747" i="15" s="1"/>
  <c r="I745" i="15"/>
  <c r="K745" i="15" s="1"/>
  <c r="I743" i="15"/>
  <c r="K743" i="15" s="1"/>
  <c r="I741" i="15"/>
  <c r="K741" i="15" s="1"/>
  <c r="U737" i="15"/>
  <c r="T737" i="15"/>
  <c r="P737" i="15"/>
  <c r="O737" i="15"/>
  <c r="U736" i="15"/>
  <c r="T736" i="15"/>
  <c r="P736" i="15"/>
  <c r="O736" i="15"/>
  <c r="U735" i="15"/>
  <c r="T735" i="15"/>
  <c r="S735" i="15"/>
  <c r="R735" i="15"/>
  <c r="Q735" i="15"/>
  <c r="P735" i="15"/>
  <c r="O735" i="15"/>
  <c r="N735" i="15"/>
  <c r="M735" i="15"/>
  <c r="L735" i="15"/>
  <c r="S734" i="15"/>
  <c r="S731" i="15" s="1"/>
  <c r="S729" i="15" s="1"/>
  <c r="R734" i="15"/>
  <c r="R732" i="15" s="1"/>
  <c r="Q734" i="15"/>
  <c r="Q732" i="15" s="1"/>
  <c r="P734" i="15"/>
  <c r="O734" i="15"/>
  <c r="U733" i="15"/>
  <c r="T733" i="15"/>
  <c r="P733" i="15"/>
  <c r="O733" i="15"/>
  <c r="N732" i="15"/>
  <c r="M732" i="15"/>
  <c r="P732" i="15" s="1"/>
  <c r="L732" i="15"/>
  <c r="O732" i="15" s="1"/>
  <c r="P731" i="15"/>
  <c r="O731" i="15"/>
  <c r="N731" i="15"/>
  <c r="M731" i="15"/>
  <c r="L731" i="15"/>
  <c r="U730" i="15"/>
  <c r="T730" i="15"/>
  <c r="S730" i="15"/>
  <c r="R730" i="15"/>
  <c r="Q730" i="15"/>
  <c r="O730" i="15"/>
  <c r="N730" i="15"/>
  <c r="N729" i="15" s="1"/>
  <c r="M730" i="15"/>
  <c r="P730" i="15" s="1"/>
  <c r="L730" i="15"/>
  <c r="L729" i="15" s="1"/>
  <c r="O729" i="15" s="1"/>
  <c r="M729" i="15"/>
  <c r="P729" i="15" s="1"/>
  <c r="J728" i="15"/>
  <c r="I728" i="15"/>
  <c r="J727" i="15"/>
  <c r="I727" i="15"/>
  <c r="K727" i="15" s="1"/>
  <c r="U723" i="15"/>
  <c r="T723" i="15"/>
  <c r="P723" i="15"/>
  <c r="O723" i="15"/>
  <c r="U722" i="15"/>
  <c r="T722" i="15"/>
  <c r="P722" i="15"/>
  <c r="O722" i="15"/>
  <c r="S721" i="15"/>
  <c r="R721" i="15"/>
  <c r="U721" i="15" s="1"/>
  <c r="Q721" i="15"/>
  <c r="T721" i="15" s="1"/>
  <c r="N721" i="15"/>
  <c r="M721" i="15"/>
  <c r="P721" i="15" s="1"/>
  <c r="L721" i="15"/>
  <c r="O721" i="15" s="1"/>
  <c r="U720" i="15"/>
  <c r="T720" i="15"/>
  <c r="P720" i="15"/>
  <c r="O720" i="15"/>
  <c r="U719" i="15"/>
  <c r="T719" i="15"/>
  <c r="P719" i="15"/>
  <c r="O719" i="15"/>
  <c r="S718" i="15"/>
  <c r="R718" i="15"/>
  <c r="U718" i="15" s="1"/>
  <c r="Q718" i="15"/>
  <c r="T718" i="15" s="1"/>
  <c r="N718" i="15"/>
  <c r="M718" i="15"/>
  <c r="P718" i="15" s="1"/>
  <c r="L718" i="15"/>
  <c r="O718" i="15" s="1"/>
  <c r="U717" i="15"/>
  <c r="S717" i="15"/>
  <c r="R717" i="15"/>
  <c r="Q717" i="15"/>
  <c r="P717" i="15"/>
  <c r="O717" i="15"/>
  <c r="N717" i="15"/>
  <c r="M717" i="15"/>
  <c r="L717" i="15"/>
  <c r="U716" i="15"/>
  <c r="T716" i="15"/>
  <c r="S716" i="15"/>
  <c r="R716" i="15"/>
  <c r="R715" i="15" s="1"/>
  <c r="U715" i="15" s="1"/>
  <c r="Q716" i="15"/>
  <c r="O716" i="15"/>
  <c r="N716" i="15"/>
  <c r="N715" i="15" s="1"/>
  <c r="M716" i="15"/>
  <c r="P716" i="15" s="1"/>
  <c r="L716" i="15"/>
  <c r="L715" i="15" s="1"/>
  <c r="O715" i="15" s="1"/>
  <c r="S715" i="15"/>
  <c r="M715" i="15"/>
  <c r="P715" i="15" s="1"/>
  <c r="K713" i="15"/>
  <c r="J713" i="15"/>
  <c r="K711" i="15"/>
  <c r="J711" i="15"/>
  <c r="J710" i="15"/>
  <c r="I710" i="15"/>
  <c r="K709" i="15"/>
  <c r="J709" i="15"/>
  <c r="J708" i="15"/>
  <c r="J690" i="15" s="1"/>
  <c r="I708" i="15"/>
  <c r="K708" i="15" s="1"/>
  <c r="K707" i="15"/>
  <c r="J707" i="15"/>
  <c r="J706" i="15"/>
  <c r="I706" i="15"/>
  <c r="K705" i="15"/>
  <c r="J705" i="15"/>
  <c r="J704" i="15"/>
  <c r="I704" i="15"/>
  <c r="K704" i="15" s="1"/>
  <c r="K703" i="15"/>
  <c r="I701" i="15"/>
  <c r="K701" i="15" s="1"/>
  <c r="U699" i="15"/>
  <c r="T699" i="15"/>
  <c r="P699" i="15"/>
  <c r="O699" i="15"/>
  <c r="U698" i="15"/>
  <c r="T698" i="15"/>
  <c r="P698" i="15"/>
  <c r="O698" i="15"/>
  <c r="S697" i="15"/>
  <c r="R697" i="15"/>
  <c r="U697" i="15" s="1"/>
  <c r="Q697" i="15"/>
  <c r="T697" i="15" s="1"/>
  <c r="P697" i="15"/>
  <c r="N697" i="15"/>
  <c r="M697" i="15"/>
  <c r="L697" i="15"/>
  <c r="O697" i="15" s="1"/>
  <c r="S696" i="15"/>
  <c r="R696" i="15"/>
  <c r="R694" i="15" s="1"/>
  <c r="Q696" i="15"/>
  <c r="Q694" i="15" s="1"/>
  <c r="P696" i="15"/>
  <c r="O696" i="15"/>
  <c r="U695" i="15"/>
  <c r="T695" i="15"/>
  <c r="P695" i="15"/>
  <c r="O695" i="15"/>
  <c r="O694" i="15"/>
  <c r="N694" i="15"/>
  <c r="M694" i="15"/>
  <c r="P694" i="15" s="1"/>
  <c r="L694" i="15"/>
  <c r="N693" i="15"/>
  <c r="M693" i="15"/>
  <c r="L693" i="15"/>
  <c r="O693" i="15" s="1"/>
  <c r="U692" i="15"/>
  <c r="S692" i="15"/>
  <c r="R692" i="15"/>
  <c r="Q692" i="15"/>
  <c r="P692" i="15"/>
  <c r="O692" i="15"/>
  <c r="N692" i="15"/>
  <c r="N691" i="15" s="1"/>
  <c r="M692" i="15"/>
  <c r="L692" i="15"/>
  <c r="O691" i="15"/>
  <c r="L691" i="15"/>
  <c r="J683" i="15"/>
  <c r="I683" i="15"/>
  <c r="K683" i="15" s="1"/>
  <c r="J682" i="15"/>
  <c r="I682" i="15"/>
  <c r="K682" i="15" s="1"/>
  <c r="J681" i="15"/>
  <c r="J680" i="15"/>
  <c r="I680" i="15"/>
  <c r="K680" i="15" s="1"/>
  <c r="J679" i="15"/>
  <c r="I679" i="15"/>
  <c r="K679" i="15" s="1"/>
  <c r="J678" i="15"/>
  <c r="J677" i="15"/>
  <c r="I677" i="15"/>
  <c r="K677" i="15" s="1"/>
  <c r="I676" i="15"/>
  <c r="K676" i="15" s="1"/>
  <c r="I675" i="15"/>
  <c r="K675" i="15" s="1"/>
  <c r="J674" i="15"/>
  <c r="I674" i="15"/>
  <c r="K674" i="15" s="1"/>
  <c r="J673" i="15"/>
  <c r="J672" i="15"/>
  <c r="J662" i="15"/>
  <c r="I662" i="15"/>
  <c r="K662" i="15" s="1"/>
  <c r="I661" i="15"/>
  <c r="I658" i="15"/>
  <c r="J655" i="15"/>
  <c r="I655" i="15"/>
  <c r="K655" i="15" s="1"/>
  <c r="J654" i="15"/>
  <c r="I654" i="15"/>
  <c r="K654" i="15" s="1"/>
  <c r="J653" i="15"/>
  <c r="I653" i="15"/>
  <c r="K653" i="15" s="1"/>
  <c r="U651" i="15"/>
  <c r="T651" i="15"/>
  <c r="P651" i="15"/>
  <c r="O651" i="15"/>
  <c r="U650" i="15"/>
  <c r="T650" i="15"/>
  <c r="P650" i="15"/>
  <c r="O650" i="15"/>
  <c r="U649" i="15"/>
  <c r="S649" i="15"/>
  <c r="R649" i="15"/>
  <c r="Q649" i="15"/>
  <c r="T649" i="15" s="1"/>
  <c r="P649" i="15"/>
  <c r="O649" i="15"/>
  <c r="N649" i="15"/>
  <c r="M649" i="15"/>
  <c r="L649" i="15"/>
  <c r="S648" i="15"/>
  <c r="S646" i="15" s="1"/>
  <c r="R648" i="15"/>
  <c r="R646" i="15" s="1"/>
  <c r="U646" i="15" s="1"/>
  <c r="Q648" i="15"/>
  <c r="T648" i="15" s="1"/>
  <c r="P648" i="15"/>
  <c r="O648" i="15"/>
  <c r="U647" i="15"/>
  <c r="T647" i="15"/>
  <c r="P647" i="15"/>
  <c r="O647" i="15"/>
  <c r="O646" i="15"/>
  <c r="N646" i="15"/>
  <c r="M646" i="15"/>
  <c r="P646" i="15" s="1"/>
  <c r="L646" i="15"/>
  <c r="P645" i="15"/>
  <c r="N645" i="15"/>
  <c r="M645" i="15"/>
  <c r="M643" i="15" s="1"/>
  <c r="P643" i="15" s="1"/>
  <c r="L645" i="15"/>
  <c r="O645" i="15" s="1"/>
  <c r="U644" i="15"/>
  <c r="T644" i="15"/>
  <c r="S644" i="15"/>
  <c r="R644" i="15"/>
  <c r="Q644" i="15"/>
  <c r="P644" i="15"/>
  <c r="O644" i="15"/>
  <c r="N644" i="15"/>
  <c r="N643" i="15" s="1"/>
  <c r="M644" i="15"/>
  <c r="L644" i="15"/>
  <c r="L643" i="15"/>
  <c r="O643" i="15" s="1"/>
  <c r="J637" i="15"/>
  <c r="J636" i="15"/>
  <c r="I636" i="15"/>
  <c r="K636" i="15" s="1"/>
  <c r="J633" i="15"/>
  <c r="I629" i="15"/>
  <c r="K629" i="15" s="1"/>
  <c r="I628" i="15"/>
  <c r="K628" i="15" s="1"/>
  <c r="J627" i="15"/>
  <c r="I627" i="15"/>
  <c r="K632" i="15" s="1"/>
  <c r="U625" i="15"/>
  <c r="T625" i="15"/>
  <c r="P625" i="15"/>
  <c r="O625" i="15"/>
  <c r="U624" i="15"/>
  <c r="T624" i="15"/>
  <c r="P624" i="15"/>
  <c r="O624" i="15"/>
  <c r="S623" i="15"/>
  <c r="R623" i="15"/>
  <c r="U623" i="15" s="1"/>
  <c r="Q623" i="15"/>
  <c r="T623" i="15" s="1"/>
  <c r="N623" i="15"/>
  <c r="M623" i="15"/>
  <c r="P623" i="15" s="1"/>
  <c r="L623" i="15"/>
  <c r="O623" i="15" s="1"/>
  <c r="S622" i="15"/>
  <c r="S620" i="15" s="1"/>
  <c r="R622" i="15"/>
  <c r="Q622" i="15"/>
  <c r="Q620" i="15" s="1"/>
  <c r="P622" i="15"/>
  <c r="O622" i="15"/>
  <c r="U621" i="15"/>
  <c r="T621" i="15"/>
  <c r="P621" i="15"/>
  <c r="O621" i="15"/>
  <c r="P620" i="15"/>
  <c r="O620" i="15"/>
  <c r="N620" i="15"/>
  <c r="M620" i="15"/>
  <c r="L620" i="15"/>
  <c r="N619" i="15"/>
  <c r="N617" i="15" s="1"/>
  <c r="M619" i="15"/>
  <c r="P619" i="15" s="1"/>
  <c r="L619" i="15"/>
  <c r="O619" i="15" s="1"/>
  <c r="U618" i="15"/>
  <c r="S618" i="15"/>
  <c r="R618" i="15"/>
  <c r="Q618" i="15"/>
  <c r="T618" i="15" s="1"/>
  <c r="P618" i="15"/>
  <c r="N618" i="15"/>
  <c r="M618" i="15"/>
  <c r="L618" i="15"/>
  <c r="L617" i="15" s="1"/>
  <c r="O617" i="15" s="1"/>
  <c r="M617" i="15"/>
  <c r="P617" i="15" s="1"/>
  <c r="J616" i="15"/>
  <c r="I616" i="15"/>
  <c r="K616" i="15" s="1"/>
  <c r="U608" i="15"/>
  <c r="T608" i="15"/>
  <c r="P608" i="15"/>
  <c r="O608" i="15"/>
  <c r="U607" i="15"/>
  <c r="T607" i="15"/>
  <c r="P607" i="15"/>
  <c r="O607" i="15"/>
  <c r="S606" i="15"/>
  <c r="R606" i="15"/>
  <c r="U606" i="15" s="1"/>
  <c r="Q606" i="15"/>
  <c r="T606" i="15" s="1"/>
  <c r="N606" i="15"/>
  <c r="M606" i="15"/>
  <c r="P606" i="15" s="1"/>
  <c r="L606" i="15"/>
  <c r="O606" i="15" s="1"/>
  <c r="U605" i="15"/>
  <c r="T605" i="15"/>
  <c r="P605" i="15"/>
  <c r="O605" i="15"/>
  <c r="U604" i="15"/>
  <c r="T604" i="15"/>
  <c r="P604" i="15"/>
  <c r="O604" i="15"/>
  <c r="S603" i="15"/>
  <c r="R603" i="15"/>
  <c r="U603" i="15" s="1"/>
  <c r="Q603" i="15"/>
  <c r="T603" i="15" s="1"/>
  <c r="N603" i="15"/>
  <c r="M603" i="15"/>
  <c r="P603" i="15" s="1"/>
  <c r="L603" i="15"/>
  <c r="O603" i="15" s="1"/>
  <c r="U602" i="15"/>
  <c r="S602" i="15"/>
  <c r="R602" i="15"/>
  <c r="Q602" i="15"/>
  <c r="Q600" i="15" s="1"/>
  <c r="T600" i="15" s="1"/>
  <c r="P602" i="15"/>
  <c r="O602" i="15"/>
  <c r="N602" i="15"/>
  <c r="M602" i="15"/>
  <c r="L602" i="15"/>
  <c r="U601" i="15"/>
  <c r="T601" i="15"/>
  <c r="S601" i="15"/>
  <c r="R601" i="15"/>
  <c r="R600" i="15" s="1"/>
  <c r="U600" i="15" s="1"/>
  <c r="Q601" i="15"/>
  <c r="N601" i="15"/>
  <c r="N600" i="15" s="1"/>
  <c r="M601" i="15"/>
  <c r="P601" i="15" s="1"/>
  <c r="L601" i="15"/>
  <c r="L600" i="15" s="1"/>
  <c r="O600" i="15" s="1"/>
  <c r="S600" i="15"/>
  <c r="M600" i="15"/>
  <c r="P600" i="15" s="1"/>
  <c r="U585" i="15"/>
  <c r="T585" i="15"/>
  <c r="P585" i="15"/>
  <c r="O585" i="15"/>
  <c r="U584" i="15"/>
  <c r="T584" i="15"/>
  <c r="P584" i="15"/>
  <c r="O584" i="15"/>
  <c r="S583" i="15"/>
  <c r="R583" i="15"/>
  <c r="U583" i="15" s="1"/>
  <c r="Q583" i="15"/>
  <c r="T583" i="15" s="1"/>
  <c r="N583" i="15"/>
  <c r="M583" i="15"/>
  <c r="P583" i="15" s="1"/>
  <c r="L583" i="15"/>
  <c r="O583" i="15" s="1"/>
  <c r="U582" i="15"/>
  <c r="T582" i="15"/>
  <c r="P582" i="15"/>
  <c r="O582" i="15"/>
  <c r="U581" i="15"/>
  <c r="T581" i="15"/>
  <c r="P581" i="15"/>
  <c r="O581" i="15"/>
  <c r="S580" i="15"/>
  <c r="R580" i="15"/>
  <c r="U580" i="15" s="1"/>
  <c r="Q580" i="15"/>
  <c r="T580" i="15" s="1"/>
  <c r="P580" i="15"/>
  <c r="N580" i="15"/>
  <c r="M580" i="15"/>
  <c r="L580" i="15"/>
  <c r="O580" i="15" s="1"/>
  <c r="U579" i="15"/>
  <c r="T579" i="15"/>
  <c r="S579" i="15"/>
  <c r="R579" i="15"/>
  <c r="Q579" i="15"/>
  <c r="P579" i="15"/>
  <c r="O579" i="15"/>
  <c r="N579" i="15"/>
  <c r="M579" i="15"/>
  <c r="L579" i="15"/>
  <c r="T578" i="15"/>
  <c r="S578" i="15"/>
  <c r="R578" i="15"/>
  <c r="R577" i="15" s="1"/>
  <c r="U577" i="15" s="1"/>
  <c r="Q578" i="15"/>
  <c r="N578" i="15"/>
  <c r="M578" i="15"/>
  <c r="P578" i="15" s="1"/>
  <c r="L578" i="15"/>
  <c r="L577" i="15" s="1"/>
  <c r="O577" i="15" s="1"/>
  <c r="S577" i="15"/>
  <c r="Q577" i="15"/>
  <c r="T577" i="15" s="1"/>
  <c r="K576" i="15"/>
  <c r="J576" i="15"/>
  <c r="I576" i="15"/>
  <c r="U564" i="15"/>
  <c r="T564" i="15"/>
  <c r="P564" i="15"/>
  <c r="O564" i="15"/>
  <c r="U563" i="15"/>
  <c r="T563" i="15"/>
  <c r="P563" i="15"/>
  <c r="O563" i="15"/>
  <c r="U562" i="15"/>
  <c r="T562" i="15"/>
  <c r="S562" i="15"/>
  <c r="R562" i="15"/>
  <c r="Q562" i="15"/>
  <c r="O562" i="15"/>
  <c r="N562" i="15"/>
  <c r="M562" i="15"/>
  <c r="P562" i="15" s="1"/>
  <c r="L562" i="15"/>
  <c r="U561" i="15"/>
  <c r="T561" i="15"/>
  <c r="P561" i="15"/>
  <c r="O561" i="15"/>
  <c r="U560" i="15"/>
  <c r="T560" i="15"/>
  <c r="P560" i="15"/>
  <c r="O560" i="15"/>
  <c r="U559" i="15"/>
  <c r="T559" i="15"/>
  <c r="S559" i="15"/>
  <c r="R559" i="15"/>
  <c r="Q559" i="15"/>
  <c r="O559" i="15"/>
  <c r="N559" i="15"/>
  <c r="M559" i="15"/>
  <c r="P559" i="15" s="1"/>
  <c r="L559" i="15"/>
  <c r="T558" i="15"/>
  <c r="S558" i="15"/>
  <c r="R558" i="15"/>
  <c r="U558" i="15" s="1"/>
  <c r="Q558" i="15"/>
  <c r="N558" i="15"/>
  <c r="M558" i="15"/>
  <c r="P558" i="15" s="1"/>
  <c r="L558" i="15"/>
  <c r="O558" i="15" s="1"/>
  <c r="U557" i="15"/>
  <c r="S557" i="15"/>
  <c r="R557" i="15"/>
  <c r="R556" i="15" s="1"/>
  <c r="U556" i="15" s="1"/>
  <c r="Q557" i="15"/>
  <c r="T557" i="15" s="1"/>
  <c r="P557" i="15"/>
  <c r="O557" i="15"/>
  <c r="N557" i="15"/>
  <c r="M557" i="15"/>
  <c r="L557" i="15"/>
  <c r="S556" i="15"/>
  <c r="P556" i="15"/>
  <c r="N556" i="15"/>
  <c r="M556" i="15"/>
  <c r="J555" i="15"/>
  <c r="I555" i="15"/>
  <c r="K555" i="15" s="1"/>
  <c r="U543" i="15"/>
  <c r="T543" i="15"/>
  <c r="P543" i="15"/>
  <c r="O543" i="15"/>
  <c r="U542" i="15"/>
  <c r="T542" i="15"/>
  <c r="P542" i="15"/>
  <c r="O542" i="15"/>
  <c r="S541" i="15"/>
  <c r="R541" i="15"/>
  <c r="U541" i="15" s="1"/>
  <c r="Q541" i="15"/>
  <c r="T541" i="15" s="1"/>
  <c r="P541" i="15"/>
  <c r="N541" i="15"/>
  <c r="M541" i="15"/>
  <c r="L541" i="15"/>
  <c r="O541" i="15" s="1"/>
  <c r="U540" i="15"/>
  <c r="T540" i="15"/>
  <c r="P540" i="15"/>
  <c r="O540" i="15"/>
  <c r="U539" i="15"/>
  <c r="T539" i="15"/>
  <c r="P539" i="15"/>
  <c r="O539" i="15"/>
  <c r="S538" i="15"/>
  <c r="R538" i="15"/>
  <c r="U538" i="15" s="1"/>
  <c r="Q538" i="15"/>
  <c r="T538" i="15" s="1"/>
  <c r="P538" i="15"/>
  <c r="N538" i="15"/>
  <c r="M538" i="15"/>
  <c r="L538" i="15"/>
  <c r="O538" i="15" s="1"/>
  <c r="U537" i="15"/>
  <c r="T537" i="15"/>
  <c r="S537" i="15"/>
  <c r="R537" i="15"/>
  <c r="Q537" i="15"/>
  <c r="P537" i="15"/>
  <c r="O537" i="15"/>
  <c r="N537" i="15"/>
  <c r="M537" i="15"/>
  <c r="L537" i="15"/>
  <c r="T536" i="15"/>
  <c r="S536" i="15"/>
  <c r="R536" i="15"/>
  <c r="R535" i="15" s="1"/>
  <c r="U535" i="15" s="1"/>
  <c r="Q536" i="15"/>
  <c r="N536" i="15"/>
  <c r="M536" i="15"/>
  <c r="P536" i="15" s="1"/>
  <c r="L536" i="15"/>
  <c r="L535" i="15" s="1"/>
  <c r="O535" i="15" s="1"/>
  <c r="S535" i="15"/>
  <c r="Q535" i="15"/>
  <c r="T535" i="15" s="1"/>
  <c r="K534" i="15"/>
  <c r="J534" i="15"/>
  <c r="I534" i="15"/>
  <c r="K525" i="15"/>
  <c r="K524" i="15"/>
  <c r="U522" i="15"/>
  <c r="T522" i="15"/>
  <c r="N522" i="15"/>
  <c r="N520" i="15" s="1"/>
  <c r="M522" i="15"/>
  <c r="P522" i="15" s="1"/>
  <c r="L522" i="15"/>
  <c r="O522" i="15" s="1"/>
  <c r="U521" i="15"/>
  <c r="T521" i="15"/>
  <c r="P521" i="15"/>
  <c r="O521" i="15"/>
  <c r="T520" i="15"/>
  <c r="S520" i="15"/>
  <c r="R520" i="15"/>
  <c r="U520" i="15" s="1"/>
  <c r="Q520" i="15"/>
  <c r="U519" i="15"/>
  <c r="T519" i="15"/>
  <c r="N519" i="15"/>
  <c r="N517" i="15" s="1"/>
  <c r="M519" i="15"/>
  <c r="M517" i="15" s="1"/>
  <c r="P517" i="15" s="1"/>
  <c r="L519" i="15"/>
  <c r="L517" i="15" s="1"/>
  <c r="O517" i="15" s="1"/>
  <c r="U518" i="15"/>
  <c r="T518" i="15"/>
  <c r="P518" i="15"/>
  <c r="O518" i="15"/>
  <c r="S517" i="15"/>
  <c r="R517" i="15"/>
  <c r="U517" i="15" s="1"/>
  <c r="Q517" i="15"/>
  <c r="T517" i="15" s="1"/>
  <c r="U516" i="15"/>
  <c r="T516" i="15"/>
  <c r="S516" i="15"/>
  <c r="R516" i="15"/>
  <c r="Q516" i="15"/>
  <c r="T515" i="15"/>
  <c r="S515" i="15"/>
  <c r="S514" i="15" s="1"/>
  <c r="R515" i="15"/>
  <c r="U515" i="15" s="1"/>
  <c r="Q515" i="15"/>
  <c r="Q514" i="15" s="1"/>
  <c r="T514" i="15" s="1"/>
  <c r="N515" i="15"/>
  <c r="M515" i="15"/>
  <c r="P515" i="15" s="1"/>
  <c r="L515" i="15"/>
  <c r="O515" i="15" s="1"/>
  <c r="U514" i="15"/>
  <c r="R514" i="15"/>
  <c r="J513" i="15"/>
  <c r="I513" i="15"/>
  <c r="K513" i="15" s="1"/>
  <c r="I510" i="15"/>
  <c r="K510" i="15" s="1"/>
  <c r="K509" i="15"/>
  <c r="I508" i="15"/>
  <c r="K508" i="15" s="1"/>
  <c r="I507" i="15"/>
  <c r="K507" i="15" s="1"/>
  <c r="I506" i="15"/>
  <c r="K506" i="15" s="1"/>
  <c r="I505" i="15"/>
  <c r="K505" i="15" s="1"/>
  <c r="I504" i="15"/>
  <c r="J504" i="15" s="1"/>
  <c r="K504" i="15" s="1"/>
  <c r="U502" i="15"/>
  <c r="T502" i="15"/>
  <c r="P502" i="15"/>
  <c r="O502" i="15"/>
  <c r="U501" i="15"/>
  <c r="T501" i="15"/>
  <c r="P501" i="15"/>
  <c r="O501" i="15"/>
  <c r="U500" i="15"/>
  <c r="T500" i="15"/>
  <c r="S500" i="15"/>
  <c r="R500" i="15"/>
  <c r="Q500" i="15"/>
  <c r="P500" i="15"/>
  <c r="O500" i="15"/>
  <c r="N500" i="15"/>
  <c r="M500" i="15"/>
  <c r="L500" i="15"/>
  <c r="S499" i="15"/>
  <c r="R499" i="15"/>
  <c r="R496" i="15" s="1"/>
  <c r="R494" i="15" s="1"/>
  <c r="Q499" i="15"/>
  <c r="Q497" i="15" s="1"/>
  <c r="P499" i="15"/>
  <c r="O499" i="15"/>
  <c r="U498" i="15"/>
  <c r="T498" i="15"/>
  <c r="P498" i="15"/>
  <c r="O498" i="15"/>
  <c r="N497" i="15"/>
  <c r="M497" i="15"/>
  <c r="P497" i="15" s="1"/>
  <c r="L497" i="15"/>
  <c r="O497" i="15" s="1"/>
  <c r="P496" i="15"/>
  <c r="N496" i="15"/>
  <c r="M496" i="15"/>
  <c r="L496" i="15"/>
  <c r="O496" i="15" s="1"/>
  <c r="U495" i="15"/>
  <c r="T495" i="15"/>
  <c r="S495" i="15"/>
  <c r="R495" i="15"/>
  <c r="Q495" i="15"/>
  <c r="P495" i="15"/>
  <c r="O495" i="15"/>
  <c r="N495" i="15"/>
  <c r="M495" i="15"/>
  <c r="M494" i="15" s="1"/>
  <c r="P494" i="15" s="1"/>
  <c r="L495" i="15"/>
  <c r="N494" i="15"/>
  <c r="K486" i="15"/>
  <c r="J486" i="15"/>
  <c r="I486" i="15"/>
  <c r="K485" i="15"/>
  <c r="J485" i="15"/>
  <c r="I485" i="15"/>
  <c r="J484" i="15"/>
  <c r="J483" i="15"/>
  <c r="K478" i="15"/>
  <c r="J478" i="15"/>
  <c r="K477" i="15"/>
  <c r="J477" i="15"/>
  <c r="K476" i="15"/>
  <c r="J476" i="15"/>
  <c r="J469" i="15"/>
  <c r="J459" i="15" s="1"/>
  <c r="J468" i="15"/>
  <c r="J458" i="15" s="1"/>
  <c r="J457" i="15" s="1"/>
  <c r="J461" i="15"/>
  <c r="J460" i="15"/>
  <c r="I459" i="15"/>
  <c r="K459" i="15" s="1"/>
  <c r="I458" i="15"/>
  <c r="K458" i="15" s="1"/>
  <c r="J448" i="15"/>
  <c r="J447" i="15"/>
  <c r="J442" i="15"/>
  <c r="I442" i="15"/>
  <c r="K442" i="15" s="1"/>
  <c r="J441" i="15"/>
  <c r="I441" i="15"/>
  <c r="K441" i="15" s="1"/>
  <c r="J434" i="15"/>
  <c r="I434" i="15"/>
  <c r="K434" i="15" s="1"/>
  <c r="J433" i="15"/>
  <c r="I433" i="15"/>
  <c r="K433" i="15" s="1"/>
  <c r="J426" i="15"/>
  <c r="I426" i="15"/>
  <c r="K426" i="15" s="1"/>
  <c r="J425" i="15"/>
  <c r="I425" i="15"/>
  <c r="K425" i="15" s="1"/>
  <c r="J424" i="15"/>
  <c r="U422" i="15"/>
  <c r="T422" i="15"/>
  <c r="P422" i="15"/>
  <c r="O422" i="15"/>
  <c r="U421" i="15"/>
  <c r="T421" i="15"/>
  <c r="P421" i="15"/>
  <c r="O421" i="15"/>
  <c r="S420" i="15"/>
  <c r="R420" i="15"/>
  <c r="U420" i="15" s="1"/>
  <c r="Q420" i="15"/>
  <c r="T420" i="15" s="1"/>
  <c r="N420" i="15"/>
  <c r="M420" i="15"/>
  <c r="P420" i="15" s="1"/>
  <c r="L420" i="15"/>
  <c r="O420" i="15" s="1"/>
  <c r="S419" i="15"/>
  <c r="S417" i="15" s="1"/>
  <c r="R419" i="15"/>
  <c r="U419" i="15" s="1"/>
  <c r="Q419" i="15"/>
  <c r="Q417" i="15" s="1"/>
  <c r="T417" i="15" s="1"/>
  <c r="P419" i="15"/>
  <c r="O419" i="15"/>
  <c r="U418" i="15"/>
  <c r="T418" i="15"/>
  <c r="P418" i="15"/>
  <c r="O418" i="15"/>
  <c r="P417" i="15"/>
  <c r="O417" i="15"/>
  <c r="N417" i="15"/>
  <c r="M417" i="15"/>
  <c r="L417" i="15"/>
  <c r="N416" i="15"/>
  <c r="M416" i="15"/>
  <c r="P416" i="15" s="1"/>
  <c r="L416" i="15"/>
  <c r="O416" i="15" s="1"/>
  <c r="S415" i="15"/>
  <c r="R415" i="15"/>
  <c r="Q415" i="15"/>
  <c r="P415" i="15"/>
  <c r="N415" i="15"/>
  <c r="M415" i="15"/>
  <c r="L415" i="15"/>
  <c r="L414" i="15" s="1"/>
  <c r="O414" i="15" s="1"/>
  <c r="N414" i="15"/>
  <c r="M414" i="15"/>
  <c r="P414" i="15" s="1"/>
  <c r="J413" i="15"/>
  <c r="U401" i="15"/>
  <c r="T401" i="15"/>
  <c r="P401" i="15"/>
  <c r="O401" i="15"/>
  <c r="U400" i="15"/>
  <c r="T400" i="15"/>
  <c r="P400" i="15"/>
  <c r="O400" i="15"/>
  <c r="S399" i="15"/>
  <c r="R399" i="15"/>
  <c r="U399" i="15" s="1"/>
  <c r="Q399" i="15"/>
  <c r="T399" i="15" s="1"/>
  <c r="N399" i="15"/>
  <c r="M399" i="15"/>
  <c r="P399" i="15" s="1"/>
  <c r="L399" i="15"/>
  <c r="O399" i="15" s="1"/>
  <c r="U398" i="15"/>
  <c r="T398" i="15"/>
  <c r="P398" i="15"/>
  <c r="O398" i="15"/>
  <c r="U397" i="15"/>
  <c r="T397" i="15"/>
  <c r="P397" i="15"/>
  <c r="O397" i="15"/>
  <c r="S396" i="15"/>
  <c r="R396" i="15"/>
  <c r="U396" i="15" s="1"/>
  <c r="Q396" i="15"/>
  <c r="T396" i="15" s="1"/>
  <c r="P396" i="15"/>
  <c r="N396" i="15"/>
  <c r="M396" i="15"/>
  <c r="L396" i="15"/>
  <c r="O396" i="15" s="1"/>
  <c r="U395" i="15"/>
  <c r="T395" i="15"/>
  <c r="S395" i="15"/>
  <c r="R395" i="15"/>
  <c r="Q395" i="15"/>
  <c r="P395" i="15"/>
  <c r="O395" i="15"/>
  <c r="N395" i="15"/>
  <c r="M395" i="15"/>
  <c r="L395" i="15"/>
  <c r="S394" i="15"/>
  <c r="R394" i="15"/>
  <c r="U394" i="15" s="1"/>
  <c r="Q394" i="15"/>
  <c r="Q393" i="15" s="1"/>
  <c r="T393" i="15" s="1"/>
  <c r="N394" i="15"/>
  <c r="M394" i="15"/>
  <c r="P394" i="15" s="1"/>
  <c r="L394" i="15"/>
  <c r="O394" i="15" s="1"/>
  <c r="S393" i="15"/>
  <c r="R393" i="15"/>
  <c r="U393" i="15" s="1"/>
  <c r="N393" i="15"/>
  <c r="M393" i="15"/>
  <c r="P393" i="15" s="1"/>
  <c r="J392" i="15"/>
  <c r="I392" i="15"/>
  <c r="K392" i="15" s="1"/>
  <c r="J389" i="15"/>
  <c r="I389" i="15"/>
  <c r="K389" i="15" s="1"/>
  <c r="K388" i="15"/>
  <c r="J388" i="15"/>
  <c r="J387" i="15"/>
  <c r="I387" i="15"/>
  <c r="K386" i="15"/>
  <c r="J386" i="15"/>
  <c r="U384" i="15"/>
  <c r="T384" i="15"/>
  <c r="P384" i="15"/>
  <c r="O384" i="15"/>
  <c r="U383" i="15"/>
  <c r="T383" i="15"/>
  <c r="P383" i="15"/>
  <c r="O383" i="15"/>
  <c r="U382" i="15"/>
  <c r="T382" i="15"/>
  <c r="S382" i="15"/>
  <c r="R382" i="15"/>
  <c r="Q382" i="15"/>
  <c r="P382" i="15"/>
  <c r="O382" i="15"/>
  <c r="N382" i="15"/>
  <c r="M382" i="15"/>
  <c r="L382" i="15"/>
  <c r="S381" i="15"/>
  <c r="S378" i="15" s="1"/>
  <c r="R381" i="15"/>
  <c r="R379" i="15" s="1"/>
  <c r="U379" i="15" s="1"/>
  <c r="Q381" i="15"/>
  <c r="P381" i="15"/>
  <c r="O381" i="15"/>
  <c r="U380" i="15"/>
  <c r="T380" i="15"/>
  <c r="P380" i="15"/>
  <c r="O380" i="15"/>
  <c r="N379" i="15"/>
  <c r="M379" i="15"/>
  <c r="P379" i="15" s="1"/>
  <c r="L379" i="15"/>
  <c r="O379" i="15" s="1"/>
  <c r="P378" i="15"/>
  <c r="O378" i="15"/>
  <c r="N378" i="15"/>
  <c r="M378" i="15"/>
  <c r="L378" i="15"/>
  <c r="U377" i="15"/>
  <c r="T377" i="15"/>
  <c r="S377" i="15"/>
  <c r="R377" i="15"/>
  <c r="Q377" i="15"/>
  <c r="O377" i="15"/>
  <c r="N377" i="15"/>
  <c r="N376" i="15" s="1"/>
  <c r="M377" i="15"/>
  <c r="P377" i="15" s="1"/>
  <c r="L377" i="15"/>
  <c r="L376" i="15" s="1"/>
  <c r="O376" i="15" s="1"/>
  <c r="D374" i="15"/>
  <c r="K373" i="15"/>
  <c r="J373" i="15"/>
  <c r="J372" i="15"/>
  <c r="J366" i="15" s="1"/>
  <c r="I372" i="15"/>
  <c r="I366" i="15" s="1"/>
  <c r="K371" i="15"/>
  <c r="J371" i="15"/>
  <c r="J370" i="15"/>
  <c r="I370" i="15"/>
  <c r="J369" i="15"/>
  <c r="I369" i="15"/>
  <c r="K368" i="15"/>
  <c r="J368" i="15"/>
  <c r="U365" i="15"/>
  <c r="T365" i="15"/>
  <c r="N365" i="15"/>
  <c r="N363" i="15" s="1"/>
  <c r="M365" i="15"/>
  <c r="P365" i="15" s="1"/>
  <c r="L365" i="15"/>
  <c r="O365" i="15" s="1"/>
  <c r="U364" i="15"/>
  <c r="T364" i="15"/>
  <c r="P364" i="15"/>
  <c r="O364" i="15"/>
  <c r="T363" i="15"/>
  <c r="S363" i="15"/>
  <c r="R363" i="15"/>
  <c r="U363" i="15" s="1"/>
  <c r="Q363" i="15"/>
  <c r="U362" i="15"/>
  <c r="T362" i="15"/>
  <c r="N362" i="15"/>
  <c r="N360" i="15" s="1"/>
  <c r="M362" i="15"/>
  <c r="M360" i="15" s="1"/>
  <c r="L362" i="15"/>
  <c r="L360" i="15" s="1"/>
  <c r="U361" i="15"/>
  <c r="T361" i="15"/>
  <c r="P361" i="15"/>
  <c r="O361" i="15"/>
  <c r="U360" i="15"/>
  <c r="S360" i="15"/>
  <c r="R360" i="15"/>
  <c r="Q360" i="15"/>
  <c r="T360" i="15" s="1"/>
  <c r="U359" i="15"/>
  <c r="T359" i="15"/>
  <c r="S359" i="15"/>
  <c r="R359" i="15"/>
  <c r="Q359" i="15"/>
  <c r="S358" i="15"/>
  <c r="S357" i="15" s="1"/>
  <c r="R358" i="15"/>
  <c r="U358" i="15" s="1"/>
  <c r="Q358" i="15"/>
  <c r="T358" i="15" s="1"/>
  <c r="N358" i="15"/>
  <c r="M358" i="15"/>
  <c r="P358" i="15" s="1"/>
  <c r="L358" i="15"/>
  <c r="O358" i="15" s="1"/>
  <c r="D355" i="15"/>
  <c r="J354" i="15"/>
  <c r="J353" i="15"/>
  <c r="D351" i="15"/>
  <c r="J350" i="15"/>
  <c r="J349" i="15"/>
  <c r="J348" i="15"/>
  <c r="J347" i="15"/>
  <c r="I347" i="15"/>
  <c r="J345" i="15"/>
  <c r="I345" i="15"/>
  <c r="U342" i="15"/>
  <c r="T342" i="15"/>
  <c r="N342" i="15"/>
  <c r="N340" i="15" s="1"/>
  <c r="M342" i="15"/>
  <c r="M340" i="15" s="1"/>
  <c r="P340" i="15" s="1"/>
  <c r="L342" i="15"/>
  <c r="L340" i="15" s="1"/>
  <c r="O340" i="15" s="1"/>
  <c r="U341" i="15"/>
  <c r="T341" i="15"/>
  <c r="P341" i="15"/>
  <c r="O341" i="15"/>
  <c r="U340" i="15"/>
  <c r="S340" i="15"/>
  <c r="R340" i="15"/>
  <c r="Q340" i="15"/>
  <c r="T340" i="15" s="1"/>
  <c r="U339" i="15"/>
  <c r="T339" i="15"/>
  <c r="N339" i="15"/>
  <c r="M339" i="15"/>
  <c r="M337" i="15" s="1"/>
  <c r="L339" i="15"/>
  <c r="L337" i="15" s="1"/>
  <c r="U338" i="15"/>
  <c r="T338" i="15"/>
  <c r="P338" i="15"/>
  <c r="O338" i="15"/>
  <c r="T337" i="15"/>
  <c r="S337" i="15"/>
  <c r="R337" i="15"/>
  <c r="U337" i="15" s="1"/>
  <c r="Q337" i="15"/>
  <c r="T336" i="15"/>
  <c r="S336" i="15"/>
  <c r="R336" i="15"/>
  <c r="R334" i="15" s="1"/>
  <c r="U334" i="15" s="1"/>
  <c r="Q336" i="15"/>
  <c r="T335" i="15"/>
  <c r="S335" i="15"/>
  <c r="S334" i="15" s="1"/>
  <c r="R335" i="15"/>
  <c r="U335" i="15" s="1"/>
  <c r="Q335" i="15"/>
  <c r="P335" i="15"/>
  <c r="N335" i="15"/>
  <c r="M335" i="15"/>
  <c r="L335" i="15"/>
  <c r="O335" i="15" s="1"/>
  <c r="T334" i="15"/>
  <c r="Q334" i="15"/>
  <c r="I331" i="15"/>
  <c r="K331" i="15" s="1"/>
  <c r="U329" i="15"/>
  <c r="T329" i="15"/>
  <c r="N329" i="15"/>
  <c r="N327" i="15" s="1"/>
  <c r="M329" i="15"/>
  <c r="P329" i="15" s="1"/>
  <c r="L329" i="15"/>
  <c r="L327" i="15" s="1"/>
  <c r="O327" i="15" s="1"/>
  <c r="U328" i="15"/>
  <c r="T328" i="15"/>
  <c r="P328" i="15"/>
  <c r="O328" i="15"/>
  <c r="T327" i="15"/>
  <c r="S327" i="15"/>
  <c r="R327" i="15"/>
  <c r="U327" i="15" s="1"/>
  <c r="Q327" i="15"/>
  <c r="U326" i="15"/>
  <c r="T326" i="15"/>
  <c r="N326" i="15"/>
  <c r="N324" i="15" s="1"/>
  <c r="M326" i="15"/>
  <c r="L326" i="15"/>
  <c r="U325" i="15"/>
  <c r="T325" i="15"/>
  <c r="P325" i="15"/>
  <c r="O325" i="15"/>
  <c r="U324" i="15"/>
  <c r="S324" i="15"/>
  <c r="R324" i="15"/>
  <c r="Q324" i="15"/>
  <c r="T324" i="15" s="1"/>
  <c r="U323" i="15"/>
  <c r="S323" i="15"/>
  <c r="R323" i="15"/>
  <c r="Q323" i="15"/>
  <c r="Q321" i="15" s="1"/>
  <c r="T321" i="15" s="1"/>
  <c r="U322" i="15"/>
  <c r="S322" i="15"/>
  <c r="R322" i="15"/>
  <c r="R321" i="15" s="1"/>
  <c r="U321" i="15" s="1"/>
  <c r="Q322" i="15"/>
  <c r="T322" i="15" s="1"/>
  <c r="O322" i="15"/>
  <c r="N322" i="15"/>
  <c r="M322" i="15"/>
  <c r="P322" i="15" s="1"/>
  <c r="L322" i="15"/>
  <c r="S321" i="15"/>
  <c r="J320" i="15"/>
  <c r="I315" i="15"/>
  <c r="K315" i="15" s="1"/>
  <c r="U312" i="15"/>
  <c r="T312" i="15"/>
  <c r="N312" i="15"/>
  <c r="N310" i="15" s="1"/>
  <c r="M312" i="15"/>
  <c r="M310" i="15" s="1"/>
  <c r="P310" i="15" s="1"/>
  <c r="L312" i="15"/>
  <c r="O312" i="15" s="1"/>
  <c r="U311" i="15"/>
  <c r="T311" i="15"/>
  <c r="P311" i="15"/>
  <c r="O311" i="15"/>
  <c r="U310" i="15"/>
  <c r="S310" i="15"/>
  <c r="R310" i="15"/>
  <c r="Q310" i="15"/>
  <c r="T310" i="15" s="1"/>
  <c r="S309" i="15"/>
  <c r="S307" i="15" s="1"/>
  <c r="R309" i="15"/>
  <c r="R306" i="15" s="1"/>
  <c r="R304" i="15" s="1"/>
  <c r="Q309" i="15"/>
  <c r="Q307" i="15" s="1"/>
  <c r="N309" i="15"/>
  <c r="N307" i="15" s="1"/>
  <c r="M309" i="15"/>
  <c r="M307" i="15" s="1"/>
  <c r="L309" i="15"/>
  <c r="L307" i="15" s="1"/>
  <c r="U308" i="15"/>
  <c r="T308" i="15"/>
  <c r="P308" i="15"/>
  <c r="O308" i="15"/>
  <c r="U305" i="15"/>
  <c r="S305" i="15"/>
  <c r="R305" i="15"/>
  <c r="Q305" i="15"/>
  <c r="T305" i="15" s="1"/>
  <c r="O305" i="15"/>
  <c r="N305" i="15"/>
  <c r="M305" i="15"/>
  <c r="P305" i="15" s="1"/>
  <c r="L305" i="15"/>
  <c r="J303" i="15"/>
  <c r="I297" i="15"/>
  <c r="K297" i="15" s="1"/>
  <c r="I296" i="15"/>
  <c r="K296" i="15" s="1"/>
  <c r="J294" i="15"/>
  <c r="I294" i="15"/>
  <c r="K294" i="15" s="1"/>
  <c r="I293" i="15"/>
  <c r="I282" i="15" s="1"/>
  <c r="K282" i="15" s="1"/>
  <c r="U291" i="15"/>
  <c r="T291" i="15"/>
  <c r="N291" i="15"/>
  <c r="N289" i="15" s="1"/>
  <c r="M291" i="15"/>
  <c r="M289" i="15" s="1"/>
  <c r="P289" i="15" s="1"/>
  <c r="L291" i="15"/>
  <c r="O291" i="15" s="1"/>
  <c r="U290" i="15"/>
  <c r="T290" i="15"/>
  <c r="P290" i="15"/>
  <c r="O290" i="15"/>
  <c r="T289" i="15"/>
  <c r="S289" i="15"/>
  <c r="R289" i="15"/>
  <c r="U289" i="15" s="1"/>
  <c r="Q289" i="15"/>
  <c r="U288" i="15"/>
  <c r="T288" i="15"/>
  <c r="N288" i="15"/>
  <c r="N286" i="15" s="1"/>
  <c r="M288" i="15"/>
  <c r="M286" i="15" s="1"/>
  <c r="L288" i="15"/>
  <c r="U287" i="15"/>
  <c r="T287" i="15"/>
  <c r="P287" i="15"/>
  <c r="O287" i="15"/>
  <c r="U286" i="15"/>
  <c r="S286" i="15"/>
  <c r="R286" i="15"/>
  <c r="Q286" i="15"/>
  <c r="T286" i="15" s="1"/>
  <c r="U285" i="15"/>
  <c r="S285" i="15"/>
  <c r="S283" i="15" s="1"/>
  <c r="R285" i="15"/>
  <c r="Q285" i="15"/>
  <c r="T285" i="15" s="1"/>
  <c r="U284" i="15"/>
  <c r="S284" i="15"/>
  <c r="R284" i="15"/>
  <c r="Q284" i="15"/>
  <c r="O284" i="15"/>
  <c r="N284" i="15"/>
  <c r="M284" i="15"/>
  <c r="P284" i="15" s="1"/>
  <c r="L284" i="15"/>
  <c r="U283" i="15"/>
  <c r="R283" i="15"/>
  <c r="J282" i="15"/>
  <c r="J281" i="15"/>
  <c r="I277" i="15"/>
  <c r="I266" i="15" s="1"/>
  <c r="U275" i="15"/>
  <c r="T275" i="15"/>
  <c r="N275" i="15"/>
  <c r="N273" i="15" s="1"/>
  <c r="M275" i="15"/>
  <c r="P275" i="15" s="1"/>
  <c r="L275" i="15"/>
  <c r="O275" i="15" s="1"/>
  <c r="U274" i="15"/>
  <c r="T274" i="15"/>
  <c r="P274" i="15"/>
  <c r="O274" i="15"/>
  <c r="T273" i="15"/>
  <c r="S273" i="15"/>
  <c r="R273" i="15"/>
  <c r="U273" i="15" s="1"/>
  <c r="Q273" i="15"/>
  <c r="S272" i="15"/>
  <c r="S269" i="15" s="1"/>
  <c r="R272" i="15"/>
  <c r="R270" i="15" s="1"/>
  <c r="Q272" i="15"/>
  <c r="Q270" i="15" s="1"/>
  <c r="N272" i="15"/>
  <c r="M272" i="15"/>
  <c r="M270" i="15" s="1"/>
  <c r="L272" i="15"/>
  <c r="O272" i="15" s="1"/>
  <c r="U271" i="15"/>
  <c r="T271" i="15"/>
  <c r="P271" i="15"/>
  <c r="O271" i="15"/>
  <c r="T268" i="15"/>
  <c r="S268" i="15"/>
  <c r="R268" i="15"/>
  <c r="U268" i="15" s="1"/>
  <c r="Q268" i="15"/>
  <c r="P268" i="15"/>
  <c r="N268" i="15"/>
  <c r="M268" i="15"/>
  <c r="L268" i="15"/>
  <c r="O268" i="15" s="1"/>
  <c r="J266" i="15"/>
  <c r="K264" i="15"/>
  <c r="K263" i="15"/>
  <c r="I261" i="15"/>
  <c r="I254" i="15" s="1"/>
  <c r="K254" i="15" s="1"/>
  <c r="L259" i="15"/>
  <c r="L258" i="15"/>
  <c r="L257" i="15"/>
  <c r="L256" i="15"/>
  <c r="P255" i="15"/>
  <c r="N255" i="15"/>
  <c r="J254" i="15"/>
  <c r="K253" i="15"/>
  <c r="K252" i="15"/>
  <c r="I250" i="15"/>
  <c r="L248" i="15"/>
  <c r="L247" i="15"/>
  <c r="L246" i="15"/>
  <c r="L245" i="15"/>
  <c r="P244" i="15"/>
  <c r="N244" i="15"/>
  <c r="N233" i="15" s="1"/>
  <c r="J243" i="15"/>
  <c r="J242" i="15"/>
  <c r="I242" i="15"/>
  <c r="K242" i="15" s="1"/>
  <c r="K241" i="15"/>
  <c r="J241" i="15"/>
  <c r="I241" i="15"/>
  <c r="J239" i="15"/>
  <c r="N237" i="15"/>
  <c r="N236" i="15"/>
  <c r="N235" i="15"/>
  <c r="N234" i="15"/>
  <c r="J232" i="15"/>
  <c r="I231" i="15"/>
  <c r="K231" i="15" s="1"/>
  <c r="I230" i="15"/>
  <c r="I222" i="15" s="1"/>
  <c r="I229" i="15"/>
  <c r="K229" i="15" s="1"/>
  <c r="L226" i="15"/>
  <c r="L225" i="15"/>
  <c r="L224" i="15"/>
  <c r="P223" i="15"/>
  <c r="N223" i="15"/>
  <c r="J222" i="15"/>
  <c r="I221" i="15"/>
  <c r="I214" i="15" s="1"/>
  <c r="K214" i="15" s="1"/>
  <c r="I220" i="15"/>
  <c r="K220" i="15" s="1"/>
  <c r="L218" i="15"/>
  <c r="L217" i="15"/>
  <c r="L216" i="15"/>
  <c r="P215" i="15"/>
  <c r="N215" i="15"/>
  <c r="J214" i="15"/>
  <c r="I213" i="15"/>
  <c r="K213" i="15" s="1"/>
  <c r="I212" i="15"/>
  <c r="K212" i="15" s="1"/>
  <c r="I210" i="15"/>
  <c r="K210" i="15" s="1"/>
  <c r="L208" i="15"/>
  <c r="L207" i="15"/>
  <c r="L206" i="15"/>
  <c r="L205" i="15"/>
  <c r="P204" i="15"/>
  <c r="N204" i="15"/>
  <c r="J203" i="15"/>
  <c r="J200" i="15"/>
  <c r="I199" i="15"/>
  <c r="I196" i="15" s="1"/>
  <c r="P197" i="15"/>
  <c r="L197" i="15"/>
  <c r="O197" i="15" s="1"/>
  <c r="J196" i="15"/>
  <c r="U195" i="15"/>
  <c r="T195" i="15"/>
  <c r="N195" i="15"/>
  <c r="M195" i="15"/>
  <c r="M193" i="15" s="1"/>
  <c r="P193" i="15" s="1"/>
  <c r="L195" i="15"/>
  <c r="O195" i="15" s="1"/>
  <c r="U194" i="15"/>
  <c r="T194" i="15"/>
  <c r="P194" i="15"/>
  <c r="O194" i="15"/>
  <c r="T193" i="15"/>
  <c r="S193" i="15"/>
  <c r="R193" i="15"/>
  <c r="U193" i="15" s="1"/>
  <c r="Q193" i="15"/>
  <c r="S192" i="15"/>
  <c r="S190" i="15" s="1"/>
  <c r="R192" i="15"/>
  <c r="Q192" i="15"/>
  <c r="Q189" i="15" s="1"/>
  <c r="N192" i="15"/>
  <c r="N190" i="15" s="1"/>
  <c r="M192" i="15"/>
  <c r="L192" i="15"/>
  <c r="L190" i="15" s="1"/>
  <c r="U191" i="15"/>
  <c r="T191" i="15"/>
  <c r="P191" i="15"/>
  <c r="O191" i="15"/>
  <c r="T188" i="15"/>
  <c r="S188" i="15"/>
  <c r="R188" i="15"/>
  <c r="U188" i="15" s="1"/>
  <c r="Q188" i="15"/>
  <c r="N188" i="15"/>
  <c r="M188" i="15"/>
  <c r="L188" i="15"/>
  <c r="O188" i="15" s="1"/>
  <c r="J186" i="15"/>
  <c r="K185" i="15"/>
  <c r="I184" i="15"/>
  <c r="K184" i="15" s="1"/>
  <c r="U182" i="15"/>
  <c r="T182" i="15"/>
  <c r="N182" i="15"/>
  <c r="N180" i="15" s="1"/>
  <c r="M182" i="15"/>
  <c r="P182" i="15" s="1"/>
  <c r="L182" i="15"/>
  <c r="L180" i="15" s="1"/>
  <c r="O180" i="15" s="1"/>
  <c r="U181" i="15"/>
  <c r="T181" i="15"/>
  <c r="P181" i="15"/>
  <c r="O181" i="15"/>
  <c r="U180" i="15"/>
  <c r="T180" i="15"/>
  <c r="S180" i="15"/>
  <c r="R180" i="15"/>
  <c r="Q180" i="15"/>
  <c r="S179" i="15"/>
  <c r="S177" i="15" s="1"/>
  <c r="R179" i="15"/>
  <c r="R177" i="15" s="1"/>
  <c r="U177" i="15" s="1"/>
  <c r="Q179" i="15"/>
  <c r="T179" i="15" s="1"/>
  <c r="N179" i="15"/>
  <c r="N177" i="15" s="1"/>
  <c r="M179" i="15"/>
  <c r="L179" i="15"/>
  <c r="L177" i="15" s="1"/>
  <c r="U178" i="15"/>
  <c r="T178" i="15"/>
  <c r="P178" i="15"/>
  <c r="O178" i="15"/>
  <c r="U175" i="15"/>
  <c r="S175" i="15"/>
  <c r="R175" i="15"/>
  <c r="Q175" i="15"/>
  <c r="T175" i="15" s="1"/>
  <c r="P175" i="15"/>
  <c r="O175" i="15"/>
  <c r="N175" i="15"/>
  <c r="M175" i="15"/>
  <c r="L175" i="15"/>
  <c r="J173" i="15"/>
  <c r="I168" i="15"/>
  <c r="K168" i="15" s="1"/>
  <c r="U166" i="15"/>
  <c r="T166" i="15"/>
  <c r="N166" i="15"/>
  <c r="N164" i="15" s="1"/>
  <c r="M166" i="15"/>
  <c r="P166" i="15" s="1"/>
  <c r="L166" i="15"/>
  <c r="L164" i="15" s="1"/>
  <c r="O164" i="15" s="1"/>
  <c r="U165" i="15"/>
  <c r="T165" i="15"/>
  <c r="P165" i="15"/>
  <c r="O165" i="15"/>
  <c r="U164" i="15"/>
  <c r="T164" i="15"/>
  <c r="S164" i="15"/>
  <c r="R164" i="15"/>
  <c r="Q164" i="15"/>
  <c r="S163" i="15"/>
  <c r="S161" i="15" s="1"/>
  <c r="R163" i="15"/>
  <c r="R161" i="15" s="1"/>
  <c r="U161" i="15" s="1"/>
  <c r="Q163" i="15"/>
  <c r="T163" i="15" s="1"/>
  <c r="N163" i="15"/>
  <c r="N161" i="15" s="1"/>
  <c r="M163" i="15"/>
  <c r="L163" i="15"/>
  <c r="L161" i="15" s="1"/>
  <c r="U162" i="15"/>
  <c r="T162" i="15"/>
  <c r="P162" i="15"/>
  <c r="O162" i="15"/>
  <c r="U159" i="15"/>
  <c r="S159" i="15"/>
  <c r="R159" i="15"/>
  <c r="Q159" i="15"/>
  <c r="T159" i="15" s="1"/>
  <c r="O159" i="15"/>
  <c r="N159" i="15"/>
  <c r="M159" i="15"/>
  <c r="P159" i="15" s="1"/>
  <c r="L159" i="15"/>
  <c r="J157" i="15"/>
  <c r="I155" i="15"/>
  <c r="K155" i="15" s="1"/>
  <c r="I154" i="15"/>
  <c r="K154" i="15" s="1"/>
  <c r="I153" i="15"/>
  <c r="K153" i="15" s="1"/>
  <c r="I152" i="15"/>
  <c r="K152" i="15" s="1"/>
  <c r="I151" i="15"/>
  <c r="K151" i="15" s="1"/>
  <c r="U148" i="15"/>
  <c r="T148" i="15"/>
  <c r="N148" i="15"/>
  <c r="N146" i="15" s="1"/>
  <c r="M148" i="15"/>
  <c r="P148" i="15" s="1"/>
  <c r="L148" i="15"/>
  <c r="O148" i="15" s="1"/>
  <c r="U147" i="15"/>
  <c r="T147" i="15"/>
  <c r="P147" i="15"/>
  <c r="O147" i="15"/>
  <c r="U146" i="15"/>
  <c r="S146" i="15"/>
  <c r="R146" i="15"/>
  <c r="Q146" i="15"/>
  <c r="T146" i="15" s="1"/>
  <c r="S145" i="15"/>
  <c r="S143" i="15" s="1"/>
  <c r="R145" i="15"/>
  <c r="R142" i="15" s="1"/>
  <c r="Q145" i="15"/>
  <c r="T145" i="15" s="1"/>
  <c r="N145" i="15"/>
  <c r="N143" i="15" s="1"/>
  <c r="M145" i="15"/>
  <c r="L145" i="15"/>
  <c r="U144" i="15"/>
  <c r="T144" i="15"/>
  <c r="P144" i="15"/>
  <c r="O144" i="15"/>
  <c r="U141" i="15"/>
  <c r="S141" i="15"/>
  <c r="R141" i="15"/>
  <c r="Q141" i="15"/>
  <c r="T141" i="15" s="1"/>
  <c r="O141" i="15"/>
  <c r="N141" i="15"/>
  <c r="M141" i="15"/>
  <c r="P141" i="15" s="1"/>
  <c r="L141" i="15"/>
  <c r="J139" i="15"/>
  <c r="J138" i="15"/>
  <c r="J137" i="15"/>
  <c r="I131" i="15"/>
  <c r="K131" i="15" s="1"/>
  <c r="I130" i="15"/>
  <c r="K130" i="15" s="1"/>
  <c r="I129" i="15"/>
  <c r="K129" i="15" s="1"/>
  <c r="I128" i="15"/>
  <c r="K128" i="15" s="1"/>
  <c r="U126" i="15"/>
  <c r="T126" i="15"/>
  <c r="N126" i="15"/>
  <c r="M126" i="15"/>
  <c r="P126" i="15" s="1"/>
  <c r="L126" i="15"/>
  <c r="L124" i="15" s="1"/>
  <c r="O124" i="15" s="1"/>
  <c r="U125" i="15"/>
  <c r="T125" i="15"/>
  <c r="P125" i="15"/>
  <c r="O125" i="15"/>
  <c r="U124" i="15"/>
  <c r="T124" i="15"/>
  <c r="S124" i="15"/>
  <c r="R124" i="15"/>
  <c r="Q124" i="15"/>
  <c r="N124" i="15"/>
  <c r="S123" i="15"/>
  <c r="S120" i="15" s="1"/>
  <c r="S118" i="15" s="1"/>
  <c r="R123" i="15"/>
  <c r="R121" i="15" s="1"/>
  <c r="Q123" i="15"/>
  <c r="N123" i="15"/>
  <c r="N121" i="15" s="1"/>
  <c r="M123" i="15"/>
  <c r="P123" i="15" s="1"/>
  <c r="L123" i="15"/>
  <c r="L121" i="15" s="1"/>
  <c r="O121" i="15" s="1"/>
  <c r="U122" i="15"/>
  <c r="T122" i="15"/>
  <c r="P122" i="15"/>
  <c r="O122" i="15"/>
  <c r="U119" i="15"/>
  <c r="S119" i="15"/>
  <c r="R119" i="15"/>
  <c r="Q119" i="15"/>
  <c r="T119" i="15" s="1"/>
  <c r="O119" i="15"/>
  <c r="N119" i="15"/>
  <c r="M119" i="15"/>
  <c r="P119" i="15" s="1"/>
  <c r="L119" i="15"/>
  <c r="J117" i="15"/>
  <c r="I115" i="15"/>
  <c r="K115" i="15" s="1"/>
  <c r="I114" i="15"/>
  <c r="K114" i="15" s="1"/>
  <c r="I110" i="15"/>
  <c r="K110" i="15" s="1"/>
  <c r="I109" i="15"/>
  <c r="K109" i="15" s="1"/>
  <c r="U103" i="15"/>
  <c r="T103" i="15"/>
  <c r="N103" i="15"/>
  <c r="N101" i="15" s="1"/>
  <c r="M103" i="15"/>
  <c r="P103" i="15" s="1"/>
  <c r="L103" i="15"/>
  <c r="O103" i="15" s="1"/>
  <c r="U102" i="15"/>
  <c r="T102" i="15"/>
  <c r="P102" i="15"/>
  <c r="O102" i="15"/>
  <c r="S101" i="15"/>
  <c r="R101" i="15"/>
  <c r="U101" i="15" s="1"/>
  <c r="Q101" i="15"/>
  <c r="T101" i="15" s="1"/>
  <c r="S100" i="15"/>
  <c r="S97" i="15" s="1"/>
  <c r="S95" i="15" s="1"/>
  <c r="R100" i="15"/>
  <c r="R98" i="15" s="1"/>
  <c r="Q100" i="15"/>
  <c r="Q97" i="15" s="1"/>
  <c r="N100" i="15"/>
  <c r="N98" i="15" s="1"/>
  <c r="M100" i="15"/>
  <c r="P100" i="15" s="1"/>
  <c r="L100" i="15"/>
  <c r="L98" i="15" s="1"/>
  <c r="O98" i="15" s="1"/>
  <c r="U99" i="15"/>
  <c r="T99" i="15"/>
  <c r="P99" i="15"/>
  <c r="O99" i="15"/>
  <c r="S96" i="15"/>
  <c r="R96" i="15"/>
  <c r="U96" i="15" s="1"/>
  <c r="Q96" i="15"/>
  <c r="T96" i="15" s="1"/>
  <c r="O96" i="15"/>
  <c r="N96" i="15"/>
  <c r="M96" i="15"/>
  <c r="P96" i="15" s="1"/>
  <c r="L96" i="15"/>
  <c r="J94" i="15"/>
  <c r="J93" i="15"/>
  <c r="I91" i="15"/>
  <c r="K91" i="15" s="1"/>
  <c r="I90" i="15"/>
  <c r="K90" i="15" s="1"/>
  <c r="I89" i="15"/>
  <c r="K89" i="15" s="1"/>
  <c r="I88" i="15"/>
  <c r="K88" i="15" s="1"/>
  <c r="I87" i="15"/>
  <c r="K87" i="15" s="1"/>
  <c r="I86" i="15"/>
  <c r="K86" i="15" s="1"/>
  <c r="I85" i="15"/>
  <c r="J84" i="15"/>
  <c r="J83" i="15"/>
  <c r="J71" i="15" s="1"/>
  <c r="U81" i="15"/>
  <c r="T81" i="15"/>
  <c r="N81" i="15"/>
  <c r="M81" i="15"/>
  <c r="M79" i="15" s="1"/>
  <c r="P79" i="15" s="1"/>
  <c r="L81" i="15"/>
  <c r="O81" i="15" s="1"/>
  <c r="U80" i="15"/>
  <c r="T80" i="15"/>
  <c r="P80" i="15"/>
  <c r="O80" i="15"/>
  <c r="U79" i="15"/>
  <c r="S79" i="15"/>
  <c r="R79" i="15"/>
  <c r="Q79" i="15"/>
  <c r="T79" i="15" s="1"/>
  <c r="S78" i="15"/>
  <c r="S76" i="15" s="1"/>
  <c r="R78" i="15"/>
  <c r="Q78" i="15"/>
  <c r="Q75" i="15" s="1"/>
  <c r="N78" i="15"/>
  <c r="N76" i="15" s="1"/>
  <c r="M78" i="15"/>
  <c r="M76" i="15" s="1"/>
  <c r="L78" i="15"/>
  <c r="L76" i="15" s="1"/>
  <c r="U77" i="15"/>
  <c r="T77" i="15"/>
  <c r="P77" i="15"/>
  <c r="O77" i="15"/>
  <c r="T74" i="15"/>
  <c r="S74" i="15"/>
  <c r="R74" i="15"/>
  <c r="U74" i="15" s="1"/>
  <c r="Q74" i="15"/>
  <c r="N74" i="15"/>
  <c r="M74" i="15"/>
  <c r="L74" i="15"/>
  <c r="O74" i="15" s="1"/>
  <c r="J72" i="15"/>
  <c r="U68" i="15"/>
  <c r="T68" i="15"/>
  <c r="N68" i="15"/>
  <c r="M68" i="15"/>
  <c r="L68" i="15"/>
  <c r="L66" i="15" s="1"/>
  <c r="O66" i="15" s="1"/>
  <c r="U67" i="15"/>
  <c r="T67" i="15"/>
  <c r="P67" i="15"/>
  <c r="O67" i="15"/>
  <c r="S66" i="15"/>
  <c r="R66" i="15"/>
  <c r="U66" i="15" s="1"/>
  <c r="Q66" i="15"/>
  <c r="T66" i="15" s="1"/>
  <c r="U65" i="15"/>
  <c r="T65" i="15"/>
  <c r="N65" i="15"/>
  <c r="N62" i="15" s="1"/>
  <c r="N60" i="15" s="1"/>
  <c r="M65" i="15"/>
  <c r="L65" i="15"/>
  <c r="U64" i="15"/>
  <c r="T64" i="15"/>
  <c r="P64" i="15"/>
  <c r="O64" i="15"/>
  <c r="U63" i="15"/>
  <c r="T63" i="15"/>
  <c r="S63" i="15"/>
  <c r="R63" i="15"/>
  <c r="Q63" i="15"/>
  <c r="S62" i="15"/>
  <c r="R62" i="15"/>
  <c r="U62" i="15" s="1"/>
  <c r="Q62" i="15"/>
  <c r="T62" i="15" s="1"/>
  <c r="U61" i="15"/>
  <c r="S61" i="15"/>
  <c r="S60" i="15" s="1"/>
  <c r="R61" i="15"/>
  <c r="R60" i="15" s="1"/>
  <c r="U60" i="15" s="1"/>
  <c r="Q61" i="15"/>
  <c r="T61" i="15" s="1"/>
  <c r="P61" i="15"/>
  <c r="O61" i="15"/>
  <c r="N61" i="15"/>
  <c r="M61" i="15"/>
  <c r="L61" i="15"/>
  <c r="T60" i="15"/>
  <c r="Q60" i="15"/>
  <c r="U53" i="15"/>
  <c r="T53" i="15"/>
  <c r="N53" i="15"/>
  <c r="N51" i="15" s="1"/>
  <c r="M53" i="15"/>
  <c r="M51" i="15" s="1"/>
  <c r="P51" i="15" s="1"/>
  <c r="L53" i="15"/>
  <c r="L51" i="15" s="1"/>
  <c r="O51" i="15" s="1"/>
  <c r="U52" i="15"/>
  <c r="T52" i="15"/>
  <c r="P52" i="15"/>
  <c r="O52" i="15"/>
  <c r="S51" i="15"/>
  <c r="R51" i="15"/>
  <c r="U51" i="15" s="1"/>
  <c r="Q51" i="15"/>
  <c r="T51" i="15" s="1"/>
  <c r="U50" i="15"/>
  <c r="T50" i="15"/>
  <c r="N50" i="15"/>
  <c r="M50" i="15"/>
  <c r="M48" i="15" s="1"/>
  <c r="L50" i="15"/>
  <c r="U49" i="15"/>
  <c r="T49" i="15"/>
  <c r="P49" i="15"/>
  <c r="O49" i="15"/>
  <c r="U48" i="15"/>
  <c r="T48" i="15"/>
  <c r="S48" i="15"/>
  <c r="R48" i="15"/>
  <c r="Q48" i="15"/>
  <c r="N48" i="15"/>
  <c r="S47" i="15"/>
  <c r="R47" i="15"/>
  <c r="U47" i="15" s="1"/>
  <c r="Q47" i="15"/>
  <c r="T47" i="15" s="1"/>
  <c r="U46" i="15"/>
  <c r="S46" i="15"/>
  <c r="S45" i="15" s="1"/>
  <c r="R46" i="15"/>
  <c r="R45" i="15" s="1"/>
  <c r="U45" i="15" s="1"/>
  <c r="Q46" i="15"/>
  <c r="T46" i="15" s="1"/>
  <c r="P46" i="15"/>
  <c r="O46" i="15"/>
  <c r="N46" i="15"/>
  <c r="M46" i="15"/>
  <c r="L46" i="15"/>
  <c r="T45" i="15"/>
  <c r="Q45" i="15"/>
  <c r="S27" i="15"/>
  <c r="R27" i="15"/>
  <c r="U27" i="15" s="1"/>
  <c r="Q27" i="15"/>
  <c r="T27" i="15" s="1"/>
  <c r="U26" i="15"/>
  <c r="T26" i="15"/>
  <c r="S26" i="15"/>
  <c r="R26" i="15"/>
  <c r="R25" i="15" s="1"/>
  <c r="U25" i="15" s="1"/>
  <c r="Q26" i="15"/>
  <c r="Q25" i="15" s="1"/>
  <c r="T25" i="15" s="1"/>
  <c r="P26" i="15"/>
  <c r="O26" i="15"/>
  <c r="N26" i="15"/>
  <c r="M26" i="15"/>
  <c r="L26" i="15"/>
  <c r="S25" i="15"/>
  <c r="U23" i="15"/>
  <c r="T23" i="15"/>
  <c r="S23" i="15"/>
  <c r="R23" i="15"/>
  <c r="Q23" i="15"/>
  <c r="P23" i="15"/>
  <c r="O23" i="15"/>
  <c r="N23" i="15"/>
  <c r="M23" i="15"/>
  <c r="L23" i="15"/>
  <c r="U20" i="15"/>
  <c r="T20" i="15"/>
  <c r="S20" i="15"/>
  <c r="R20" i="15"/>
  <c r="Q20" i="15"/>
  <c r="P20" i="15"/>
  <c r="O20" i="15"/>
  <c r="N20" i="15"/>
  <c r="M20" i="15"/>
  <c r="L20" i="15"/>
  <c r="A790" i="14"/>
  <c r="A789" i="14"/>
  <c r="J786" i="14"/>
  <c r="I786" i="14"/>
  <c r="J785" i="14"/>
  <c r="I785" i="14"/>
  <c r="J784" i="14"/>
  <c r="I784" i="14"/>
  <c r="K784" i="14" s="1"/>
  <c r="J783" i="14"/>
  <c r="I783" i="14"/>
  <c r="K783" i="14" s="1"/>
  <c r="J782" i="14"/>
  <c r="I782" i="14"/>
  <c r="J781" i="14"/>
  <c r="I781" i="14"/>
  <c r="J780" i="14"/>
  <c r="I780" i="14"/>
  <c r="J779" i="14"/>
  <c r="I779" i="14"/>
  <c r="H778" i="14"/>
  <c r="I777" i="14"/>
  <c r="I776" i="14"/>
  <c r="I775" i="14"/>
  <c r="K775" i="14" s="1"/>
  <c r="I773" i="14"/>
  <c r="I771" i="14"/>
  <c r="K771" i="14" s="1"/>
  <c r="U769" i="14"/>
  <c r="T769" i="14"/>
  <c r="P769" i="14"/>
  <c r="O769" i="14"/>
  <c r="U768" i="14"/>
  <c r="T768" i="14"/>
  <c r="P768" i="14"/>
  <c r="O768" i="14"/>
  <c r="S767" i="14"/>
  <c r="R767" i="14"/>
  <c r="U767" i="14" s="1"/>
  <c r="Q767" i="14"/>
  <c r="T767" i="14" s="1"/>
  <c r="N767" i="14"/>
  <c r="M767" i="14"/>
  <c r="P767" i="14" s="1"/>
  <c r="L767" i="14"/>
  <c r="O767" i="14" s="1"/>
  <c r="S766" i="14"/>
  <c r="R766" i="14"/>
  <c r="Q766" i="14"/>
  <c r="T766" i="14" s="1"/>
  <c r="P766" i="14"/>
  <c r="O766" i="14"/>
  <c r="U765" i="14"/>
  <c r="T765" i="14"/>
  <c r="P765" i="14"/>
  <c r="O765" i="14"/>
  <c r="P764" i="14"/>
  <c r="O764" i="14"/>
  <c r="N764" i="14"/>
  <c r="M764" i="14"/>
  <c r="L764" i="14"/>
  <c r="N763" i="14"/>
  <c r="M763" i="14"/>
  <c r="L763" i="14"/>
  <c r="O763" i="14" s="1"/>
  <c r="S762" i="14"/>
  <c r="R762" i="14"/>
  <c r="U762" i="14" s="1"/>
  <c r="Q762" i="14"/>
  <c r="P762" i="14"/>
  <c r="N762" i="14"/>
  <c r="M762" i="14"/>
  <c r="L762" i="14"/>
  <c r="O762" i="14" s="1"/>
  <c r="N761" i="14"/>
  <c r="J760" i="14"/>
  <c r="J759" i="14"/>
  <c r="I756" i="14"/>
  <c r="K756" i="14" s="1"/>
  <c r="I753" i="14"/>
  <c r="K753" i="14" s="1"/>
  <c r="I750" i="14"/>
  <c r="K750" i="14" s="1"/>
  <c r="I747" i="14"/>
  <c r="K747" i="14" s="1"/>
  <c r="I745" i="14"/>
  <c r="K745" i="14" s="1"/>
  <c r="I743" i="14"/>
  <c r="K743" i="14" s="1"/>
  <c r="I741" i="14"/>
  <c r="K741" i="14" s="1"/>
  <c r="U737" i="14"/>
  <c r="T737" i="14"/>
  <c r="P737" i="14"/>
  <c r="O737" i="14"/>
  <c r="U736" i="14"/>
  <c r="T736" i="14"/>
  <c r="P736" i="14"/>
  <c r="O736" i="14"/>
  <c r="S735" i="14"/>
  <c r="R735" i="14"/>
  <c r="U735" i="14" s="1"/>
  <c r="Q735" i="14"/>
  <c r="T735" i="14" s="1"/>
  <c r="P735" i="14"/>
  <c r="N735" i="14"/>
  <c r="M735" i="14"/>
  <c r="L735" i="14"/>
  <c r="O735" i="14" s="1"/>
  <c r="S734" i="14"/>
  <c r="S732" i="14" s="1"/>
  <c r="R734" i="14"/>
  <c r="R731" i="14" s="1"/>
  <c r="Q734" i="14"/>
  <c r="Q732" i="14" s="1"/>
  <c r="P734" i="14"/>
  <c r="O734" i="14"/>
  <c r="U733" i="14"/>
  <c r="T733" i="14"/>
  <c r="P733" i="14"/>
  <c r="O733" i="14"/>
  <c r="O732" i="14"/>
  <c r="N732" i="14"/>
  <c r="M732" i="14"/>
  <c r="P732" i="14" s="1"/>
  <c r="L732" i="14"/>
  <c r="N731" i="14"/>
  <c r="M731" i="14"/>
  <c r="P731" i="14" s="1"/>
  <c r="L731" i="14"/>
  <c r="U730" i="14"/>
  <c r="S730" i="14"/>
  <c r="R730" i="14"/>
  <c r="Q730" i="14"/>
  <c r="T730" i="14" s="1"/>
  <c r="P730" i="14"/>
  <c r="O730" i="14"/>
  <c r="N730" i="14"/>
  <c r="M730" i="14"/>
  <c r="L730" i="14"/>
  <c r="N729" i="14"/>
  <c r="M729" i="14"/>
  <c r="P729" i="14" s="1"/>
  <c r="J728" i="14"/>
  <c r="I728" i="14"/>
  <c r="K728" i="14" s="1"/>
  <c r="J727" i="14"/>
  <c r="I727" i="14"/>
  <c r="U723" i="14"/>
  <c r="T723" i="14"/>
  <c r="P723" i="14"/>
  <c r="O723" i="14"/>
  <c r="U722" i="14"/>
  <c r="T722" i="14"/>
  <c r="P722" i="14"/>
  <c r="O722" i="14"/>
  <c r="U721" i="14"/>
  <c r="T721" i="14"/>
  <c r="S721" i="14"/>
  <c r="R721" i="14"/>
  <c r="Q721" i="14"/>
  <c r="O721" i="14"/>
  <c r="N721" i="14"/>
  <c r="M721" i="14"/>
  <c r="P721" i="14" s="1"/>
  <c r="L721" i="14"/>
  <c r="U720" i="14"/>
  <c r="T720" i="14"/>
  <c r="P720" i="14"/>
  <c r="O720" i="14"/>
  <c r="U719" i="14"/>
  <c r="T719" i="14"/>
  <c r="P719" i="14"/>
  <c r="O719" i="14"/>
  <c r="U718" i="14"/>
  <c r="T718" i="14"/>
  <c r="S718" i="14"/>
  <c r="R718" i="14"/>
  <c r="Q718" i="14"/>
  <c r="O718" i="14"/>
  <c r="N718" i="14"/>
  <c r="M718" i="14"/>
  <c r="P718" i="14" s="1"/>
  <c r="L718" i="14"/>
  <c r="S717" i="14"/>
  <c r="R717" i="14"/>
  <c r="Q717" i="14"/>
  <c r="T717" i="14" s="1"/>
  <c r="N717" i="14"/>
  <c r="M717" i="14"/>
  <c r="P717" i="14" s="1"/>
  <c r="L717" i="14"/>
  <c r="U716" i="14"/>
  <c r="S716" i="14"/>
  <c r="R716" i="14"/>
  <c r="Q716" i="14"/>
  <c r="T716" i="14" s="1"/>
  <c r="P716" i="14"/>
  <c r="O716" i="14"/>
  <c r="N716" i="14"/>
  <c r="M716" i="14"/>
  <c r="L716" i="14"/>
  <c r="S715" i="14"/>
  <c r="N715" i="14"/>
  <c r="M715" i="14"/>
  <c r="P715" i="14" s="1"/>
  <c r="K713" i="14"/>
  <c r="J713" i="14"/>
  <c r="K711" i="14"/>
  <c r="J711" i="14"/>
  <c r="J710" i="14"/>
  <c r="I710" i="14"/>
  <c r="K709" i="14"/>
  <c r="J709" i="14"/>
  <c r="J708" i="14"/>
  <c r="J690" i="14" s="1"/>
  <c r="I708" i="14"/>
  <c r="K708" i="14" s="1"/>
  <c r="K707" i="14"/>
  <c r="J707" i="14"/>
  <c r="J706" i="14"/>
  <c r="I706" i="14"/>
  <c r="K705" i="14"/>
  <c r="J705" i="14"/>
  <c r="J704" i="14"/>
  <c r="I704" i="14"/>
  <c r="K703" i="14"/>
  <c r="I701" i="14"/>
  <c r="K701" i="14" s="1"/>
  <c r="U699" i="14"/>
  <c r="T699" i="14"/>
  <c r="P699" i="14"/>
  <c r="O699" i="14"/>
  <c r="U698" i="14"/>
  <c r="T698" i="14"/>
  <c r="P698" i="14"/>
  <c r="O698" i="14"/>
  <c r="T697" i="14"/>
  <c r="S697" i="14"/>
  <c r="R697" i="14"/>
  <c r="U697" i="14" s="1"/>
  <c r="Q697" i="14"/>
  <c r="N697" i="14"/>
  <c r="M697" i="14"/>
  <c r="P697" i="14" s="1"/>
  <c r="L697" i="14"/>
  <c r="O697" i="14" s="1"/>
  <c r="S696" i="14"/>
  <c r="S694" i="14" s="1"/>
  <c r="R696" i="14"/>
  <c r="Q696" i="14"/>
  <c r="P696" i="14"/>
  <c r="O696" i="14"/>
  <c r="U695" i="14"/>
  <c r="T695" i="14"/>
  <c r="P695" i="14"/>
  <c r="O695" i="14"/>
  <c r="P694" i="14"/>
  <c r="O694" i="14"/>
  <c r="N694" i="14"/>
  <c r="M694" i="14"/>
  <c r="L694" i="14"/>
  <c r="O693" i="14"/>
  <c r="N693" i="14"/>
  <c r="M693" i="14"/>
  <c r="P693" i="14" s="1"/>
  <c r="L693" i="14"/>
  <c r="S692" i="14"/>
  <c r="R692" i="14"/>
  <c r="Q692" i="14"/>
  <c r="N692" i="14"/>
  <c r="N691" i="14" s="1"/>
  <c r="M692" i="14"/>
  <c r="P692" i="14" s="1"/>
  <c r="L692" i="14"/>
  <c r="J683" i="14"/>
  <c r="I683" i="14"/>
  <c r="K683" i="14" s="1"/>
  <c r="J682" i="14"/>
  <c r="I682" i="14"/>
  <c r="K682" i="14" s="1"/>
  <c r="J681" i="14"/>
  <c r="J680" i="14"/>
  <c r="I680" i="14"/>
  <c r="K680" i="14" s="1"/>
  <c r="J679" i="14"/>
  <c r="I679" i="14"/>
  <c r="K679" i="14" s="1"/>
  <c r="J678" i="14"/>
  <c r="J677" i="14"/>
  <c r="I677" i="14"/>
  <c r="K677" i="14" s="1"/>
  <c r="I676" i="14"/>
  <c r="K676" i="14" s="1"/>
  <c r="I675" i="14"/>
  <c r="K675" i="14" s="1"/>
  <c r="J674" i="14"/>
  <c r="I674" i="14"/>
  <c r="K674" i="14" s="1"/>
  <c r="J673" i="14"/>
  <c r="J672" i="14"/>
  <c r="J662" i="14"/>
  <c r="I662" i="14"/>
  <c r="K662" i="14" s="1"/>
  <c r="I661" i="14"/>
  <c r="I658" i="14"/>
  <c r="J655" i="14"/>
  <c r="I655" i="14"/>
  <c r="K655" i="14" s="1"/>
  <c r="J654" i="14"/>
  <c r="I654" i="14"/>
  <c r="K654" i="14" s="1"/>
  <c r="J653" i="14"/>
  <c r="I653" i="14"/>
  <c r="K653" i="14" s="1"/>
  <c r="U651" i="14"/>
  <c r="T651" i="14"/>
  <c r="P651" i="14"/>
  <c r="O651" i="14"/>
  <c r="U650" i="14"/>
  <c r="T650" i="14"/>
  <c r="P650" i="14"/>
  <c r="O650" i="14"/>
  <c r="S649" i="14"/>
  <c r="R649" i="14"/>
  <c r="U649" i="14" s="1"/>
  <c r="Q649" i="14"/>
  <c r="T649" i="14" s="1"/>
  <c r="N649" i="14"/>
  <c r="M649" i="14"/>
  <c r="P649" i="14" s="1"/>
  <c r="L649" i="14"/>
  <c r="O649" i="14" s="1"/>
  <c r="S648" i="14"/>
  <c r="S646" i="14" s="1"/>
  <c r="R648" i="14"/>
  <c r="R646" i="14" s="1"/>
  <c r="U646" i="14" s="1"/>
  <c r="Q648" i="14"/>
  <c r="P648" i="14"/>
  <c r="O648" i="14"/>
  <c r="U647" i="14"/>
  <c r="T647" i="14"/>
  <c r="P647" i="14"/>
  <c r="O647" i="14"/>
  <c r="P646" i="14"/>
  <c r="O646" i="14"/>
  <c r="N646" i="14"/>
  <c r="M646" i="14"/>
  <c r="L646" i="14"/>
  <c r="N645" i="14"/>
  <c r="N643" i="14" s="1"/>
  <c r="M645" i="14"/>
  <c r="P645" i="14" s="1"/>
  <c r="L645" i="14"/>
  <c r="O645" i="14" s="1"/>
  <c r="S644" i="14"/>
  <c r="R644" i="14"/>
  <c r="Q644" i="14"/>
  <c r="P644" i="14"/>
  <c r="N644" i="14"/>
  <c r="M644" i="14"/>
  <c r="M643" i="14" s="1"/>
  <c r="L644" i="14"/>
  <c r="P643" i="14"/>
  <c r="J637" i="14"/>
  <c r="J636" i="14"/>
  <c r="I636" i="14"/>
  <c r="K636" i="14" s="1"/>
  <c r="J633" i="14"/>
  <c r="I629" i="14"/>
  <c r="K629" i="14" s="1"/>
  <c r="I628" i="14"/>
  <c r="K628" i="14" s="1"/>
  <c r="J627" i="14"/>
  <c r="I627" i="14"/>
  <c r="K633" i="14" s="1"/>
  <c r="U625" i="14"/>
  <c r="T625" i="14"/>
  <c r="P625" i="14"/>
  <c r="O625" i="14"/>
  <c r="U624" i="14"/>
  <c r="T624" i="14"/>
  <c r="P624" i="14"/>
  <c r="O624" i="14"/>
  <c r="T623" i="14"/>
  <c r="S623" i="14"/>
  <c r="R623" i="14"/>
  <c r="U623" i="14" s="1"/>
  <c r="Q623" i="14"/>
  <c r="N623" i="14"/>
  <c r="M623" i="14"/>
  <c r="P623" i="14" s="1"/>
  <c r="L623" i="14"/>
  <c r="O623" i="14" s="1"/>
  <c r="S622" i="14"/>
  <c r="S620" i="14" s="1"/>
  <c r="R622" i="14"/>
  <c r="Q622" i="14"/>
  <c r="Q620" i="14" s="1"/>
  <c r="P622" i="14"/>
  <c r="O622" i="14"/>
  <c r="U621" i="14"/>
  <c r="T621" i="14"/>
  <c r="P621" i="14"/>
  <c r="O621" i="14"/>
  <c r="P620" i="14"/>
  <c r="O620" i="14"/>
  <c r="N620" i="14"/>
  <c r="M620" i="14"/>
  <c r="L620" i="14"/>
  <c r="O619" i="14"/>
  <c r="N619" i="14"/>
  <c r="N617" i="14" s="1"/>
  <c r="M619" i="14"/>
  <c r="P619" i="14" s="1"/>
  <c r="L619" i="14"/>
  <c r="S618" i="14"/>
  <c r="R618" i="14"/>
  <c r="Q618" i="14"/>
  <c r="T618" i="14" s="1"/>
  <c r="N618" i="14"/>
  <c r="M618" i="14"/>
  <c r="L618" i="14"/>
  <c r="U608" i="14"/>
  <c r="T608" i="14"/>
  <c r="P608" i="14"/>
  <c r="O608" i="14"/>
  <c r="U607" i="14"/>
  <c r="T607" i="14"/>
  <c r="P607" i="14"/>
  <c r="O607" i="14"/>
  <c r="T606" i="14"/>
  <c r="S606" i="14"/>
  <c r="R606" i="14"/>
  <c r="U606" i="14" s="1"/>
  <c r="Q606" i="14"/>
  <c r="N606" i="14"/>
  <c r="M606" i="14"/>
  <c r="P606" i="14" s="1"/>
  <c r="L606" i="14"/>
  <c r="O606" i="14" s="1"/>
  <c r="U605" i="14"/>
  <c r="T605" i="14"/>
  <c r="P605" i="14"/>
  <c r="O605" i="14"/>
  <c r="U604" i="14"/>
  <c r="T604" i="14"/>
  <c r="P604" i="14"/>
  <c r="O604" i="14"/>
  <c r="T603" i="14"/>
  <c r="S603" i="14"/>
  <c r="R603" i="14"/>
  <c r="U603" i="14" s="1"/>
  <c r="Q603" i="14"/>
  <c r="N603" i="14"/>
  <c r="M603" i="14"/>
  <c r="P603" i="14" s="1"/>
  <c r="L603" i="14"/>
  <c r="O603" i="14" s="1"/>
  <c r="S602" i="14"/>
  <c r="R602" i="14"/>
  <c r="Q602" i="14"/>
  <c r="P602" i="14"/>
  <c r="N602" i="14"/>
  <c r="M602" i="14"/>
  <c r="L602" i="14"/>
  <c r="U601" i="14"/>
  <c r="T601" i="14"/>
  <c r="S601" i="14"/>
  <c r="R601" i="14"/>
  <c r="Q601" i="14"/>
  <c r="P601" i="14"/>
  <c r="O601" i="14"/>
  <c r="N601" i="14"/>
  <c r="M601" i="14"/>
  <c r="L601" i="14"/>
  <c r="S600" i="14"/>
  <c r="N600" i="14"/>
  <c r="M600" i="14"/>
  <c r="P600" i="14" s="1"/>
  <c r="U585" i="14"/>
  <c r="T585" i="14"/>
  <c r="P585" i="14"/>
  <c r="O585" i="14"/>
  <c r="U584" i="14"/>
  <c r="T584" i="14"/>
  <c r="P584" i="14"/>
  <c r="O584" i="14"/>
  <c r="T583" i="14"/>
  <c r="S583" i="14"/>
  <c r="R583" i="14"/>
  <c r="U583" i="14" s="1"/>
  <c r="Q583" i="14"/>
  <c r="N583" i="14"/>
  <c r="M583" i="14"/>
  <c r="P583" i="14" s="1"/>
  <c r="L583" i="14"/>
  <c r="O583" i="14" s="1"/>
  <c r="U582" i="14"/>
  <c r="T582" i="14"/>
  <c r="P582" i="14"/>
  <c r="O582" i="14"/>
  <c r="U581" i="14"/>
  <c r="T581" i="14"/>
  <c r="P581" i="14"/>
  <c r="O581" i="14"/>
  <c r="T580" i="14"/>
  <c r="S580" i="14"/>
  <c r="R580" i="14"/>
  <c r="U580" i="14" s="1"/>
  <c r="Q580" i="14"/>
  <c r="N580" i="14"/>
  <c r="M580" i="14"/>
  <c r="P580" i="14" s="1"/>
  <c r="L580" i="14"/>
  <c r="O580" i="14" s="1"/>
  <c r="S579" i="14"/>
  <c r="R579" i="14"/>
  <c r="Q579" i="14"/>
  <c r="P579" i="14"/>
  <c r="N579" i="14"/>
  <c r="M579" i="14"/>
  <c r="L579" i="14"/>
  <c r="U578" i="14"/>
  <c r="T578" i="14"/>
  <c r="S578" i="14"/>
  <c r="R578" i="14"/>
  <c r="Q578" i="14"/>
  <c r="P578" i="14"/>
  <c r="O578" i="14"/>
  <c r="N578" i="14"/>
  <c r="M578" i="14"/>
  <c r="L578" i="14"/>
  <c r="S577" i="14"/>
  <c r="N577" i="14"/>
  <c r="M577" i="14"/>
  <c r="P577" i="14" s="1"/>
  <c r="J576" i="14"/>
  <c r="I576" i="14"/>
  <c r="K576" i="14" s="1"/>
  <c r="U564" i="14"/>
  <c r="T564" i="14"/>
  <c r="P564" i="14"/>
  <c r="O564" i="14"/>
  <c r="U563" i="14"/>
  <c r="T563" i="14"/>
  <c r="P563" i="14"/>
  <c r="O563" i="14"/>
  <c r="S562" i="14"/>
  <c r="R562" i="14"/>
  <c r="U562" i="14" s="1"/>
  <c r="Q562" i="14"/>
  <c r="T562" i="14" s="1"/>
  <c r="P562" i="14"/>
  <c r="N562" i="14"/>
  <c r="M562" i="14"/>
  <c r="L562" i="14"/>
  <c r="O562" i="14" s="1"/>
  <c r="U561" i="14"/>
  <c r="T561" i="14"/>
  <c r="P561" i="14"/>
  <c r="O561" i="14"/>
  <c r="U560" i="14"/>
  <c r="T560" i="14"/>
  <c r="P560" i="14"/>
  <c r="O560" i="14"/>
  <c r="S559" i="14"/>
  <c r="R559" i="14"/>
  <c r="U559" i="14" s="1"/>
  <c r="Q559" i="14"/>
  <c r="T559" i="14" s="1"/>
  <c r="P559" i="14"/>
  <c r="N559" i="14"/>
  <c r="M559" i="14"/>
  <c r="L559" i="14"/>
  <c r="O559" i="14" s="1"/>
  <c r="U558" i="14"/>
  <c r="T558" i="14"/>
  <c r="S558" i="14"/>
  <c r="R558" i="14"/>
  <c r="Q558" i="14"/>
  <c r="P558" i="14"/>
  <c r="O558" i="14"/>
  <c r="N558" i="14"/>
  <c r="M558" i="14"/>
  <c r="L558" i="14"/>
  <c r="T557" i="14"/>
  <c r="S557" i="14"/>
  <c r="S556" i="14" s="1"/>
  <c r="R557" i="14"/>
  <c r="Q557" i="14"/>
  <c r="N557" i="14"/>
  <c r="N556" i="14" s="1"/>
  <c r="M557" i="14"/>
  <c r="L557" i="14"/>
  <c r="O557" i="14" s="1"/>
  <c r="Q556" i="14"/>
  <c r="T556" i="14" s="1"/>
  <c r="K555" i="14"/>
  <c r="J555" i="14"/>
  <c r="I555" i="14"/>
  <c r="U543" i="14"/>
  <c r="T543" i="14"/>
  <c r="P543" i="14"/>
  <c r="O543" i="14"/>
  <c r="U542" i="14"/>
  <c r="T542" i="14"/>
  <c r="P542" i="14"/>
  <c r="O542" i="14"/>
  <c r="U541" i="14"/>
  <c r="T541" i="14"/>
  <c r="S541" i="14"/>
  <c r="R541" i="14"/>
  <c r="Q541" i="14"/>
  <c r="O541" i="14"/>
  <c r="N541" i="14"/>
  <c r="M541" i="14"/>
  <c r="P541" i="14" s="1"/>
  <c r="L541" i="14"/>
  <c r="U540" i="14"/>
  <c r="T540" i="14"/>
  <c r="P540" i="14"/>
  <c r="O540" i="14"/>
  <c r="U539" i="14"/>
  <c r="T539" i="14"/>
  <c r="P539" i="14"/>
  <c r="O539" i="14"/>
  <c r="U538" i="14"/>
  <c r="T538" i="14"/>
  <c r="S538" i="14"/>
  <c r="R538" i="14"/>
  <c r="Q538" i="14"/>
  <c r="O538" i="14"/>
  <c r="N538" i="14"/>
  <c r="M538" i="14"/>
  <c r="P538" i="14" s="1"/>
  <c r="L538" i="14"/>
  <c r="S537" i="14"/>
  <c r="S535" i="14" s="1"/>
  <c r="R537" i="14"/>
  <c r="Q537" i="14"/>
  <c r="T537" i="14" s="1"/>
  <c r="N537" i="14"/>
  <c r="M537" i="14"/>
  <c r="P537" i="14" s="1"/>
  <c r="L537" i="14"/>
  <c r="U536" i="14"/>
  <c r="S536" i="14"/>
  <c r="R536" i="14"/>
  <c r="Q536" i="14"/>
  <c r="P536" i="14"/>
  <c r="O536" i="14"/>
  <c r="N536" i="14"/>
  <c r="M536" i="14"/>
  <c r="L536" i="14"/>
  <c r="N535" i="14"/>
  <c r="M535" i="14"/>
  <c r="P535" i="14" s="1"/>
  <c r="J534" i="14"/>
  <c r="I534" i="14"/>
  <c r="K534" i="14" s="1"/>
  <c r="K525" i="14"/>
  <c r="K524" i="14"/>
  <c r="U522" i="14"/>
  <c r="T522" i="14"/>
  <c r="N522" i="14"/>
  <c r="M522" i="14"/>
  <c r="L522" i="14"/>
  <c r="L520" i="14" s="1"/>
  <c r="O520" i="14" s="1"/>
  <c r="U521" i="14"/>
  <c r="T521" i="14"/>
  <c r="P521" i="14"/>
  <c r="O521" i="14"/>
  <c r="U520" i="14"/>
  <c r="S520" i="14"/>
  <c r="R520" i="14"/>
  <c r="Q520" i="14"/>
  <c r="T520" i="14" s="1"/>
  <c r="U519" i="14"/>
  <c r="T519" i="14"/>
  <c r="N519" i="14"/>
  <c r="N517" i="14" s="1"/>
  <c r="M519" i="14"/>
  <c r="P519" i="14" s="1"/>
  <c r="L519" i="14"/>
  <c r="O519" i="14" s="1"/>
  <c r="U518" i="14"/>
  <c r="T518" i="14"/>
  <c r="P518" i="14"/>
  <c r="O518" i="14"/>
  <c r="T517" i="14"/>
  <c r="S517" i="14"/>
  <c r="R517" i="14"/>
  <c r="U517" i="14" s="1"/>
  <c r="Q517" i="14"/>
  <c r="S516" i="14"/>
  <c r="R516" i="14"/>
  <c r="U516" i="14" s="1"/>
  <c r="Q516" i="14"/>
  <c r="U515" i="14"/>
  <c r="T515" i="14"/>
  <c r="S515" i="14"/>
  <c r="R515" i="14"/>
  <c r="Q515" i="14"/>
  <c r="P515" i="14"/>
  <c r="O515" i="14"/>
  <c r="N515" i="14"/>
  <c r="M515" i="14"/>
  <c r="L515" i="14"/>
  <c r="S514" i="14"/>
  <c r="R514" i="14"/>
  <c r="U514" i="14" s="1"/>
  <c r="K513" i="14"/>
  <c r="J513" i="14"/>
  <c r="I513" i="14"/>
  <c r="I510" i="14"/>
  <c r="K510" i="14" s="1"/>
  <c r="K509" i="14"/>
  <c r="I508" i="14"/>
  <c r="K508" i="14" s="1"/>
  <c r="I507" i="14"/>
  <c r="K507" i="14" s="1"/>
  <c r="I506" i="14"/>
  <c r="K506" i="14" s="1"/>
  <c r="I505" i="14"/>
  <c r="K505" i="14" s="1"/>
  <c r="I504" i="14"/>
  <c r="K504" i="14" s="1"/>
  <c r="U502" i="14"/>
  <c r="T502" i="14"/>
  <c r="P502" i="14"/>
  <c r="O502" i="14"/>
  <c r="U501" i="14"/>
  <c r="T501" i="14"/>
  <c r="P501" i="14"/>
  <c r="O501" i="14"/>
  <c r="S500" i="14"/>
  <c r="R500" i="14"/>
  <c r="U500" i="14" s="1"/>
  <c r="Q500" i="14"/>
  <c r="T500" i="14" s="1"/>
  <c r="N500" i="14"/>
  <c r="M500" i="14"/>
  <c r="P500" i="14" s="1"/>
  <c r="L500" i="14"/>
  <c r="O500" i="14" s="1"/>
  <c r="S499" i="14"/>
  <c r="R499" i="14"/>
  <c r="Q499" i="14"/>
  <c r="P499" i="14"/>
  <c r="O499" i="14"/>
  <c r="U498" i="14"/>
  <c r="T498" i="14"/>
  <c r="P498" i="14"/>
  <c r="O498" i="14"/>
  <c r="P497" i="14"/>
  <c r="O497" i="14"/>
  <c r="N497" i="14"/>
  <c r="M497" i="14"/>
  <c r="L497" i="14"/>
  <c r="N496" i="14"/>
  <c r="M496" i="14"/>
  <c r="L496" i="14"/>
  <c r="O496" i="14" s="1"/>
  <c r="S495" i="14"/>
  <c r="R495" i="14"/>
  <c r="Q495" i="14"/>
  <c r="P495" i="14"/>
  <c r="N495" i="14"/>
  <c r="M495" i="14"/>
  <c r="L495" i="14"/>
  <c r="N494" i="14"/>
  <c r="K486" i="14"/>
  <c r="J486" i="14"/>
  <c r="I486" i="14"/>
  <c r="J485" i="14"/>
  <c r="I485" i="14"/>
  <c r="K485" i="14" s="1"/>
  <c r="J484" i="14"/>
  <c r="J483" i="14"/>
  <c r="K478" i="14"/>
  <c r="J478" i="14"/>
  <c r="K477" i="14"/>
  <c r="J477" i="14"/>
  <c r="K476" i="14"/>
  <c r="J476" i="14"/>
  <c r="J469" i="14"/>
  <c r="J468" i="14"/>
  <c r="J461" i="14"/>
  <c r="J459" i="14" s="1"/>
  <c r="J460" i="14"/>
  <c r="J458" i="14" s="1"/>
  <c r="J457" i="14" s="1"/>
  <c r="I459" i="14"/>
  <c r="K459" i="14" s="1"/>
  <c r="I458" i="14"/>
  <c r="J448" i="14"/>
  <c r="J447" i="14"/>
  <c r="J441" i="14" s="1"/>
  <c r="J424" i="14" s="1"/>
  <c r="J413" i="14" s="1"/>
  <c r="J442" i="14"/>
  <c r="I442" i="14"/>
  <c r="K442" i="14" s="1"/>
  <c r="I441" i="14"/>
  <c r="K441" i="14" s="1"/>
  <c r="J434" i="14"/>
  <c r="I434" i="14"/>
  <c r="K434" i="14" s="1"/>
  <c r="J433" i="14"/>
  <c r="I433" i="14"/>
  <c r="K433" i="14" s="1"/>
  <c r="J426" i="14"/>
  <c r="I426" i="14"/>
  <c r="K426" i="14" s="1"/>
  <c r="J425" i="14"/>
  <c r="I425" i="14"/>
  <c r="K425" i="14" s="1"/>
  <c r="U422" i="14"/>
  <c r="T422" i="14"/>
  <c r="P422" i="14"/>
  <c r="O422" i="14"/>
  <c r="U421" i="14"/>
  <c r="T421" i="14"/>
  <c r="P421" i="14"/>
  <c r="O421" i="14"/>
  <c r="T420" i="14"/>
  <c r="S420" i="14"/>
  <c r="R420" i="14"/>
  <c r="U420" i="14" s="1"/>
  <c r="Q420" i="14"/>
  <c r="N420" i="14"/>
  <c r="M420" i="14"/>
  <c r="P420" i="14" s="1"/>
  <c r="L420" i="14"/>
  <c r="O420" i="14" s="1"/>
  <c r="S419" i="14"/>
  <c r="R419" i="14"/>
  <c r="Q419" i="14"/>
  <c r="Q417" i="14" s="1"/>
  <c r="T417" i="14" s="1"/>
  <c r="P419" i="14"/>
  <c r="O419" i="14"/>
  <c r="U418" i="14"/>
  <c r="T418" i="14"/>
  <c r="P418" i="14"/>
  <c r="O418" i="14"/>
  <c r="P417" i="14"/>
  <c r="O417" i="14"/>
  <c r="N417" i="14"/>
  <c r="M417" i="14"/>
  <c r="L417" i="14"/>
  <c r="O416" i="14"/>
  <c r="N416" i="14"/>
  <c r="M416" i="14"/>
  <c r="P416" i="14" s="1"/>
  <c r="L416" i="14"/>
  <c r="T415" i="14"/>
  <c r="S415" i="14"/>
  <c r="R415" i="14"/>
  <c r="U415" i="14" s="1"/>
  <c r="Q415" i="14"/>
  <c r="O415" i="14"/>
  <c r="N415" i="14"/>
  <c r="N414" i="14" s="1"/>
  <c r="M415" i="14"/>
  <c r="L415" i="14"/>
  <c r="L414" i="14"/>
  <c r="O414" i="14" s="1"/>
  <c r="U401" i="14"/>
  <c r="T401" i="14"/>
  <c r="P401" i="14"/>
  <c r="O401" i="14"/>
  <c r="U400" i="14"/>
  <c r="T400" i="14"/>
  <c r="P400" i="14"/>
  <c r="O400" i="14"/>
  <c r="U399" i="14"/>
  <c r="T399" i="14"/>
  <c r="S399" i="14"/>
  <c r="R399" i="14"/>
  <c r="Q399" i="14"/>
  <c r="P399" i="14"/>
  <c r="O399" i="14"/>
  <c r="N399" i="14"/>
  <c r="M399" i="14"/>
  <c r="L399" i="14"/>
  <c r="U398" i="14"/>
  <c r="T398" i="14"/>
  <c r="P398" i="14"/>
  <c r="O398" i="14"/>
  <c r="U397" i="14"/>
  <c r="T397" i="14"/>
  <c r="P397" i="14"/>
  <c r="O397" i="14"/>
  <c r="U396" i="14"/>
  <c r="T396" i="14"/>
  <c r="S396" i="14"/>
  <c r="R396" i="14"/>
  <c r="Q396" i="14"/>
  <c r="P396" i="14"/>
  <c r="O396" i="14"/>
  <c r="N396" i="14"/>
  <c r="M396" i="14"/>
  <c r="L396" i="14"/>
  <c r="T395" i="14"/>
  <c r="S395" i="14"/>
  <c r="S393" i="14" s="1"/>
  <c r="R395" i="14"/>
  <c r="U395" i="14" s="1"/>
  <c r="Q395" i="14"/>
  <c r="N395" i="14"/>
  <c r="M395" i="14"/>
  <c r="L395" i="14"/>
  <c r="O395" i="14" s="1"/>
  <c r="S394" i="14"/>
  <c r="R394" i="14"/>
  <c r="U394" i="14" s="1"/>
  <c r="Q394" i="14"/>
  <c r="P394" i="14"/>
  <c r="N394" i="14"/>
  <c r="M394" i="14"/>
  <c r="L394" i="14"/>
  <c r="O394" i="14" s="1"/>
  <c r="N393" i="14"/>
  <c r="J392" i="14"/>
  <c r="I392" i="14"/>
  <c r="K392" i="14" s="1"/>
  <c r="J389" i="14"/>
  <c r="I389" i="14"/>
  <c r="K389" i="14" s="1"/>
  <c r="K388" i="14"/>
  <c r="J388" i="14"/>
  <c r="J387" i="14"/>
  <c r="I387" i="14"/>
  <c r="K386" i="14"/>
  <c r="J386" i="14"/>
  <c r="U384" i="14"/>
  <c r="T384" i="14"/>
  <c r="P384" i="14"/>
  <c r="O384" i="14"/>
  <c r="U383" i="14"/>
  <c r="T383" i="14"/>
  <c r="P383" i="14"/>
  <c r="O383" i="14"/>
  <c r="U382" i="14"/>
  <c r="S382" i="14"/>
  <c r="R382" i="14"/>
  <c r="Q382" i="14"/>
  <c r="T382" i="14" s="1"/>
  <c r="P382" i="14"/>
  <c r="O382" i="14"/>
  <c r="N382" i="14"/>
  <c r="M382" i="14"/>
  <c r="L382" i="14"/>
  <c r="S381" i="14"/>
  <c r="R381" i="14"/>
  <c r="R379" i="14" s="1"/>
  <c r="U379" i="14" s="1"/>
  <c r="Q381" i="14"/>
  <c r="Q379" i="14" s="1"/>
  <c r="P381" i="14"/>
  <c r="O381" i="14"/>
  <c r="U380" i="14"/>
  <c r="T380" i="14"/>
  <c r="P380" i="14"/>
  <c r="O380" i="14"/>
  <c r="N379" i="14"/>
  <c r="M379" i="14"/>
  <c r="P379" i="14" s="1"/>
  <c r="L379" i="14"/>
  <c r="O379" i="14" s="1"/>
  <c r="P378" i="14"/>
  <c r="N378" i="14"/>
  <c r="M378" i="14"/>
  <c r="L378" i="14"/>
  <c r="O378" i="14" s="1"/>
  <c r="U377" i="14"/>
  <c r="T377" i="14"/>
  <c r="S377" i="14"/>
  <c r="R377" i="14"/>
  <c r="Q377" i="14"/>
  <c r="P377" i="14"/>
  <c r="O377" i="14"/>
  <c r="N377" i="14"/>
  <c r="N376" i="14" s="1"/>
  <c r="M377" i="14"/>
  <c r="L377" i="14"/>
  <c r="M376" i="14"/>
  <c r="P376" i="14" s="1"/>
  <c r="L376" i="14"/>
  <c r="O376" i="14" s="1"/>
  <c r="D374" i="14"/>
  <c r="K373" i="14"/>
  <c r="J373" i="14"/>
  <c r="J372" i="14"/>
  <c r="I372" i="14"/>
  <c r="I366" i="14" s="1"/>
  <c r="K371" i="14"/>
  <c r="J371" i="14"/>
  <c r="J370" i="14"/>
  <c r="I370" i="14"/>
  <c r="J369" i="14"/>
  <c r="I369" i="14"/>
  <c r="K368" i="14"/>
  <c r="J368" i="14"/>
  <c r="U365" i="14"/>
  <c r="T365" i="14"/>
  <c r="N365" i="14"/>
  <c r="M365" i="14"/>
  <c r="P365" i="14" s="1"/>
  <c r="L365" i="14"/>
  <c r="U364" i="14"/>
  <c r="T364" i="14"/>
  <c r="P364" i="14"/>
  <c r="O364" i="14"/>
  <c r="U363" i="14"/>
  <c r="T363" i="14"/>
  <c r="S363" i="14"/>
  <c r="R363" i="14"/>
  <c r="Q363" i="14"/>
  <c r="N363" i="14"/>
  <c r="U362" i="14"/>
  <c r="T362" i="14"/>
  <c r="N362" i="14"/>
  <c r="M362" i="14"/>
  <c r="M360" i="14" s="1"/>
  <c r="L362" i="14"/>
  <c r="L360" i="14" s="1"/>
  <c r="U361" i="14"/>
  <c r="T361" i="14"/>
  <c r="P361" i="14"/>
  <c r="O361" i="14"/>
  <c r="S360" i="14"/>
  <c r="R360" i="14"/>
  <c r="U360" i="14" s="1"/>
  <c r="Q360" i="14"/>
  <c r="T360" i="14" s="1"/>
  <c r="U359" i="14"/>
  <c r="T359" i="14"/>
  <c r="S359" i="14"/>
  <c r="R359" i="14"/>
  <c r="Q359" i="14"/>
  <c r="T358" i="14"/>
  <c r="S358" i="14"/>
  <c r="S357" i="14" s="1"/>
  <c r="R358" i="14"/>
  <c r="Q358" i="14"/>
  <c r="N358" i="14"/>
  <c r="M358" i="14"/>
  <c r="L358" i="14"/>
  <c r="O358" i="14" s="1"/>
  <c r="Q357" i="14"/>
  <c r="T357" i="14" s="1"/>
  <c r="D355" i="14"/>
  <c r="J354" i="14"/>
  <c r="J353" i="14"/>
  <c r="D351" i="14"/>
  <c r="J350" i="14"/>
  <c r="J349" i="14"/>
  <c r="J348" i="14"/>
  <c r="J347" i="14"/>
  <c r="I347" i="14"/>
  <c r="J345" i="14"/>
  <c r="I345" i="14"/>
  <c r="U342" i="14"/>
  <c r="T342" i="14"/>
  <c r="N342" i="14"/>
  <c r="M342" i="14"/>
  <c r="M340" i="14" s="1"/>
  <c r="P340" i="14" s="1"/>
  <c r="L342" i="14"/>
  <c r="O342" i="14" s="1"/>
  <c r="U341" i="14"/>
  <c r="T341" i="14"/>
  <c r="P341" i="14"/>
  <c r="O341" i="14"/>
  <c r="S340" i="14"/>
  <c r="R340" i="14"/>
  <c r="U340" i="14" s="1"/>
  <c r="Q340" i="14"/>
  <c r="T340" i="14" s="1"/>
  <c r="U339" i="14"/>
  <c r="T339" i="14"/>
  <c r="N339" i="14"/>
  <c r="M339" i="14"/>
  <c r="L339" i="14"/>
  <c r="U338" i="14"/>
  <c r="T338" i="14"/>
  <c r="P338" i="14"/>
  <c r="O338" i="14"/>
  <c r="U337" i="14"/>
  <c r="T337" i="14"/>
  <c r="S337" i="14"/>
  <c r="R337" i="14"/>
  <c r="Q337" i="14"/>
  <c r="N337" i="14"/>
  <c r="S336" i="14"/>
  <c r="S334" i="14" s="1"/>
  <c r="R336" i="14"/>
  <c r="Q336" i="14"/>
  <c r="T336" i="14" s="1"/>
  <c r="U335" i="14"/>
  <c r="S335" i="14"/>
  <c r="R335" i="14"/>
  <c r="Q335" i="14"/>
  <c r="P335" i="14"/>
  <c r="O335" i="14"/>
  <c r="N335" i="14"/>
  <c r="M335" i="14"/>
  <c r="L335" i="14"/>
  <c r="I331" i="14"/>
  <c r="I320" i="14" s="1"/>
  <c r="K320" i="14" s="1"/>
  <c r="U329" i="14"/>
  <c r="T329" i="14"/>
  <c r="N329" i="14"/>
  <c r="M329" i="14"/>
  <c r="L329" i="14"/>
  <c r="L327" i="14" s="1"/>
  <c r="O327" i="14" s="1"/>
  <c r="U328" i="14"/>
  <c r="T328" i="14"/>
  <c r="P328" i="14"/>
  <c r="O328" i="14"/>
  <c r="U327" i="14"/>
  <c r="S327" i="14"/>
  <c r="R327" i="14"/>
  <c r="Q327" i="14"/>
  <c r="T327" i="14" s="1"/>
  <c r="U326" i="14"/>
  <c r="T326" i="14"/>
  <c r="N326" i="14"/>
  <c r="N324" i="14" s="1"/>
  <c r="M326" i="14"/>
  <c r="P326" i="14" s="1"/>
  <c r="L326" i="14"/>
  <c r="U325" i="14"/>
  <c r="T325" i="14"/>
  <c r="P325" i="14"/>
  <c r="O325" i="14"/>
  <c r="T324" i="14"/>
  <c r="S324" i="14"/>
  <c r="R324" i="14"/>
  <c r="U324" i="14" s="1"/>
  <c r="Q324" i="14"/>
  <c r="S323" i="14"/>
  <c r="R323" i="14"/>
  <c r="Q323" i="14"/>
  <c r="U322" i="14"/>
  <c r="T322" i="14"/>
  <c r="S322" i="14"/>
  <c r="R322" i="14"/>
  <c r="Q322" i="14"/>
  <c r="P322" i="14"/>
  <c r="O322" i="14"/>
  <c r="N322" i="14"/>
  <c r="M322" i="14"/>
  <c r="L322" i="14"/>
  <c r="S321" i="14"/>
  <c r="J320" i="14"/>
  <c r="I315" i="14"/>
  <c r="K315" i="14" s="1"/>
  <c r="U312" i="14"/>
  <c r="T312" i="14"/>
  <c r="N312" i="14"/>
  <c r="M312" i="14"/>
  <c r="L312" i="14"/>
  <c r="U311" i="14"/>
  <c r="T311" i="14"/>
  <c r="P311" i="14"/>
  <c r="O311" i="14"/>
  <c r="U310" i="14"/>
  <c r="T310" i="14"/>
  <c r="S310" i="14"/>
  <c r="R310" i="14"/>
  <c r="Q310" i="14"/>
  <c r="N310" i="14"/>
  <c r="S309" i="14"/>
  <c r="S306" i="14" s="1"/>
  <c r="R309" i="14"/>
  <c r="Q309" i="14"/>
  <c r="N309" i="14"/>
  <c r="N307" i="14" s="1"/>
  <c r="M309" i="14"/>
  <c r="L309" i="14"/>
  <c r="U308" i="14"/>
  <c r="T308" i="14"/>
  <c r="P308" i="14"/>
  <c r="O308" i="14"/>
  <c r="S305" i="14"/>
  <c r="R305" i="14"/>
  <c r="Q305" i="14"/>
  <c r="P305" i="14"/>
  <c r="N305" i="14"/>
  <c r="M305" i="14"/>
  <c r="L305" i="14"/>
  <c r="J303" i="14"/>
  <c r="I297" i="14"/>
  <c r="K297" i="14" s="1"/>
  <c r="I296" i="14"/>
  <c r="K296" i="14" s="1"/>
  <c r="J294" i="14"/>
  <c r="J281" i="14" s="1"/>
  <c r="I294" i="14"/>
  <c r="I281" i="14" s="1"/>
  <c r="K281" i="14" s="1"/>
  <c r="I293" i="14"/>
  <c r="K293" i="14" s="1"/>
  <c r="U291" i="14"/>
  <c r="T291" i="14"/>
  <c r="N291" i="14"/>
  <c r="N289" i="14" s="1"/>
  <c r="M291" i="14"/>
  <c r="L291" i="14"/>
  <c r="O291" i="14" s="1"/>
  <c r="U290" i="14"/>
  <c r="T290" i="14"/>
  <c r="P290" i="14"/>
  <c r="O290" i="14"/>
  <c r="S289" i="14"/>
  <c r="R289" i="14"/>
  <c r="U289" i="14" s="1"/>
  <c r="Q289" i="14"/>
  <c r="T289" i="14" s="1"/>
  <c r="U288" i="14"/>
  <c r="T288" i="14"/>
  <c r="N288" i="14"/>
  <c r="N285" i="14" s="1"/>
  <c r="N283" i="14" s="1"/>
  <c r="M288" i="14"/>
  <c r="L288" i="14"/>
  <c r="U287" i="14"/>
  <c r="T287" i="14"/>
  <c r="P287" i="14"/>
  <c r="O287" i="14"/>
  <c r="U286" i="14"/>
  <c r="T286" i="14"/>
  <c r="S286" i="14"/>
  <c r="R286" i="14"/>
  <c r="Q286" i="14"/>
  <c r="N286" i="14"/>
  <c r="T285" i="14"/>
  <c r="S285" i="14"/>
  <c r="S283" i="14" s="1"/>
  <c r="R285" i="14"/>
  <c r="U285" i="14" s="1"/>
  <c r="Q285" i="14"/>
  <c r="S284" i="14"/>
  <c r="R284" i="14"/>
  <c r="Q284" i="14"/>
  <c r="P284" i="14"/>
  <c r="N284" i="14"/>
  <c r="M284" i="14"/>
  <c r="L284" i="14"/>
  <c r="J282" i="14"/>
  <c r="I277" i="14"/>
  <c r="K277" i="14" s="1"/>
  <c r="U275" i="14"/>
  <c r="T275" i="14"/>
  <c r="N275" i="14"/>
  <c r="M275" i="14"/>
  <c r="L275" i="14"/>
  <c r="U274" i="14"/>
  <c r="T274" i="14"/>
  <c r="P274" i="14"/>
  <c r="O274" i="14"/>
  <c r="U273" i="14"/>
  <c r="T273" i="14"/>
  <c r="S273" i="14"/>
  <c r="R273" i="14"/>
  <c r="Q273" i="14"/>
  <c r="N273" i="14"/>
  <c r="S272" i="14"/>
  <c r="S270" i="14" s="1"/>
  <c r="R272" i="14"/>
  <c r="Q272" i="14"/>
  <c r="Q269" i="14" s="1"/>
  <c r="N272" i="14"/>
  <c r="N270" i="14" s="1"/>
  <c r="M272" i="14"/>
  <c r="L272" i="14"/>
  <c r="U271" i="14"/>
  <c r="T271" i="14"/>
  <c r="P271" i="14"/>
  <c r="O271" i="14"/>
  <c r="U268" i="14"/>
  <c r="S268" i="14"/>
  <c r="R268" i="14"/>
  <c r="Q268" i="14"/>
  <c r="T268" i="14" s="1"/>
  <c r="P268" i="14"/>
  <c r="O268" i="14"/>
  <c r="N268" i="14"/>
  <c r="M268" i="14"/>
  <c r="L268" i="14"/>
  <c r="J266" i="14"/>
  <c r="K264" i="14"/>
  <c r="K263" i="14"/>
  <c r="I261" i="14"/>
  <c r="L259" i="14"/>
  <c r="L258" i="14"/>
  <c r="L257" i="14"/>
  <c r="L256" i="14"/>
  <c r="P255" i="14"/>
  <c r="N255" i="14"/>
  <c r="J254" i="14"/>
  <c r="J232" i="14" s="1"/>
  <c r="J186" i="14" s="1"/>
  <c r="K253" i="14"/>
  <c r="K252" i="14"/>
  <c r="I250" i="14"/>
  <c r="I243" i="14" s="1"/>
  <c r="K243" i="14" s="1"/>
  <c r="L248" i="14"/>
  <c r="L247" i="14"/>
  <c r="L246" i="14"/>
  <c r="L245" i="14"/>
  <c r="P244" i="14"/>
  <c r="N244" i="14"/>
  <c r="N233" i="14" s="1"/>
  <c r="J243" i="14"/>
  <c r="K242" i="14"/>
  <c r="J242" i="14"/>
  <c r="I242" i="14"/>
  <c r="K241" i="14"/>
  <c r="J241" i="14"/>
  <c r="I241" i="14"/>
  <c r="J239" i="14"/>
  <c r="N237" i="14"/>
  <c r="N236" i="14"/>
  <c r="N235" i="14"/>
  <c r="N234" i="14"/>
  <c r="I231" i="14"/>
  <c r="I230" i="14"/>
  <c r="K230" i="14" s="1"/>
  <c r="I229" i="14"/>
  <c r="K229" i="14" s="1"/>
  <c r="L226" i="14"/>
  <c r="L225" i="14"/>
  <c r="L224" i="14"/>
  <c r="P223" i="14"/>
  <c r="N223" i="14"/>
  <c r="J222" i="14"/>
  <c r="I221" i="14"/>
  <c r="K221" i="14" s="1"/>
  <c r="I220" i="14"/>
  <c r="K220" i="14" s="1"/>
  <c r="L218" i="14"/>
  <c r="L217" i="14"/>
  <c r="L216" i="14"/>
  <c r="P215" i="14"/>
  <c r="N215" i="14"/>
  <c r="J214" i="14"/>
  <c r="I213" i="14"/>
  <c r="K213" i="14" s="1"/>
  <c r="I212" i="14"/>
  <c r="K212" i="14" s="1"/>
  <c r="I210" i="14"/>
  <c r="L208" i="14"/>
  <c r="L207" i="14"/>
  <c r="L206" i="14"/>
  <c r="L205" i="14"/>
  <c r="P204" i="14"/>
  <c r="N204" i="14"/>
  <c r="J203" i="14"/>
  <c r="J200" i="14"/>
  <c r="I199" i="14"/>
  <c r="I196" i="14" s="1"/>
  <c r="P197" i="14"/>
  <c r="L197" i="14"/>
  <c r="O197" i="14" s="1"/>
  <c r="J196" i="14"/>
  <c r="U195" i="14"/>
  <c r="T195" i="14"/>
  <c r="N195" i="14"/>
  <c r="N193" i="14" s="1"/>
  <c r="M195" i="14"/>
  <c r="P195" i="14" s="1"/>
  <c r="L195" i="14"/>
  <c r="O195" i="14" s="1"/>
  <c r="U194" i="14"/>
  <c r="T194" i="14"/>
  <c r="P194" i="14"/>
  <c r="O194" i="14"/>
  <c r="T193" i="14"/>
  <c r="S193" i="14"/>
  <c r="R193" i="14"/>
  <c r="U193" i="14" s="1"/>
  <c r="Q193" i="14"/>
  <c r="S192" i="14"/>
  <c r="S190" i="14" s="1"/>
  <c r="R192" i="14"/>
  <c r="R190" i="14" s="1"/>
  <c r="Q192" i="14"/>
  <c r="Q189" i="14" s="1"/>
  <c r="Q187" i="14" s="1"/>
  <c r="N192" i="14"/>
  <c r="N190" i="14" s="1"/>
  <c r="M192" i="14"/>
  <c r="M190" i="14" s="1"/>
  <c r="L192" i="14"/>
  <c r="U191" i="14"/>
  <c r="T191" i="14"/>
  <c r="P191" i="14"/>
  <c r="O191" i="14"/>
  <c r="T188" i="14"/>
  <c r="S188" i="14"/>
  <c r="R188" i="14"/>
  <c r="Q188" i="14"/>
  <c r="P188" i="14"/>
  <c r="N188" i="14"/>
  <c r="M188" i="14"/>
  <c r="L188" i="14"/>
  <c r="O188" i="14" s="1"/>
  <c r="K185" i="14"/>
  <c r="I184" i="14"/>
  <c r="K184" i="14" s="1"/>
  <c r="U182" i="14"/>
  <c r="T182" i="14"/>
  <c r="N182" i="14"/>
  <c r="N180" i="14" s="1"/>
  <c r="M182" i="14"/>
  <c r="P182" i="14" s="1"/>
  <c r="L182" i="14"/>
  <c r="L180" i="14" s="1"/>
  <c r="O180" i="14" s="1"/>
  <c r="U181" i="14"/>
  <c r="T181" i="14"/>
  <c r="P181" i="14"/>
  <c r="O181" i="14"/>
  <c r="U180" i="14"/>
  <c r="S180" i="14"/>
  <c r="R180" i="14"/>
  <c r="Q180" i="14"/>
  <c r="T180" i="14" s="1"/>
  <c r="S179" i="14"/>
  <c r="S177" i="14" s="1"/>
  <c r="R179" i="14"/>
  <c r="Q179" i="14"/>
  <c r="T179" i="14" s="1"/>
  <c r="N179" i="14"/>
  <c r="N177" i="14" s="1"/>
  <c r="M179" i="14"/>
  <c r="M177" i="14" s="1"/>
  <c r="L179" i="14"/>
  <c r="U178" i="14"/>
  <c r="T178" i="14"/>
  <c r="P178" i="14"/>
  <c r="O178" i="14"/>
  <c r="S175" i="14"/>
  <c r="R175" i="14"/>
  <c r="Q175" i="14"/>
  <c r="O175" i="14"/>
  <c r="N175" i="14"/>
  <c r="M175" i="14"/>
  <c r="L175" i="14"/>
  <c r="J173" i="14"/>
  <c r="I170" i="14"/>
  <c r="I157" i="14" s="1"/>
  <c r="K157" i="14" s="1"/>
  <c r="I169" i="14"/>
  <c r="K169" i="14" s="1"/>
  <c r="I168" i="14"/>
  <c r="K168" i="14" s="1"/>
  <c r="U166" i="14"/>
  <c r="T166" i="14"/>
  <c r="N166" i="14"/>
  <c r="N164" i="14" s="1"/>
  <c r="M166" i="14"/>
  <c r="P166" i="14" s="1"/>
  <c r="L166" i="14"/>
  <c r="L164" i="14" s="1"/>
  <c r="O164" i="14" s="1"/>
  <c r="U165" i="14"/>
  <c r="T165" i="14"/>
  <c r="P165" i="14"/>
  <c r="O165" i="14"/>
  <c r="U164" i="14"/>
  <c r="S164" i="14"/>
  <c r="R164" i="14"/>
  <c r="Q164" i="14"/>
  <c r="T164" i="14" s="1"/>
  <c r="S163" i="14"/>
  <c r="S161" i="14" s="1"/>
  <c r="R163" i="14"/>
  <c r="R161" i="14" s="1"/>
  <c r="U161" i="14" s="1"/>
  <c r="Q163" i="14"/>
  <c r="T163" i="14" s="1"/>
  <c r="N163" i="14"/>
  <c r="N161" i="14" s="1"/>
  <c r="M163" i="14"/>
  <c r="L163" i="14"/>
  <c r="L161" i="14" s="1"/>
  <c r="O161" i="14" s="1"/>
  <c r="U162" i="14"/>
  <c r="T162" i="14"/>
  <c r="P162" i="14"/>
  <c r="O162" i="14"/>
  <c r="U159" i="14"/>
  <c r="S159" i="14"/>
  <c r="R159" i="14"/>
  <c r="Q159" i="14"/>
  <c r="O159" i="14"/>
  <c r="N159" i="14"/>
  <c r="M159" i="14"/>
  <c r="L159" i="14"/>
  <c r="J157" i="14"/>
  <c r="I155" i="14"/>
  <c r="I154" i="14"/>
  <c r="K154" i="14" s="1"/>
  <c r="I153" i="14"/>
  <c r="K153" i="14" s="1"/>
  <c r="I152" i="14"/>
  <c r="K152" i="14" s="1"/>
  <c r="I151" i="14"/>
  <c r="K151" i="14" s="1"/>
  <c r="U148" i="14"/>
  <c r="T148" i="14"/>
  <c r="N148" i="14"/>
  <c r="M148" i="14"/>
  <c r="M146" i="14" s="1"/>
  <c r="P146" i="14" s="1"/>
  <c r="L148" i="14"/>
  <c r="O148" i="14" s="1"/>
  <c r="U147" i="14"/>
  <c r="T147" i="14"/>
  <c r="P147" i="14"/>
  <c r="O147" i="14"/>
  <c r="U146" i="14"/>
  <c r="S146" i="14"/>
  <c r="R146" i="14"/>
  <c r="Q146" i="14"/>
  <c r="T146" i="14" s="1"/>
  <c r="S145" i="14"/>
  <c r="S142" i="14" s="1"/>
  <c r="S140" i="14" s="1"/>
  <c r="R145" i="14"/>
  <c r="R143" i="14" s="1"/>
  <c r="U143" i="14" s="1"/>
  <c r="Q145" i="14"/>
  <c r="T145" i="14" s="1"/>
  <c r="N145" i="14"/>
  <c r="N143" i="14" s="1"/>
  <c r="M145" i="14"/>
  <c r="L145" i="14"/>
  <c r="U144" i="14"/>
  <c r="T144" i="14"/>
  <c r="P144" i="14"/>
  <c r="O144" i="14"/>
  <c r="U141" i="14"/>
  <c r="S141" i="14"/>
  <c r="R141" i="14"/>
  <c r="Q141" i="14"/>
  <c r="T141" i="14" s="1"/>
  <c r="P141" i="14"/>
  <c r="O141" i="14"/>
  <c r="N141" i="14"/>
  <c r="M141" i="14"/>
  <c r="L141" i="14"/>
  <c r="J139" i="14"/>
  <c r="J138" i="14"/>
  <c r="J137" i="14"/>
  <c r="I131" i="14"/>
  <c r="K131" i="14" s="1"/>
  <c r="I130" i="14"/>
  <c r="K130" i="14" s="1"/>
  <c r="I129" i="14"/>
  <c r="K129" i="14" s="1"/>
  <c r="I128" i="14"/>
  <c r="U126" i="14"/>
  <c r="T126" i="14"/>
  <c r="N126" i="14"/>
  <c r="N124" i="14" s="1"/>
  <c r="M126" i="14"/>
  <c r="P126" i="14" s="1"/>
  <c r="L126" i="14"/>
  <c r="U125" i="14"/>
  <c r="T125" i="14"/>
  <c r="P125" i="14"/>
  <c r="O125" i="14"/>
  <c r="U124" i="14"/>
  <c r="T124" i="14"/>
  <c r="S124" i="14"/>
  <c r="R124" i="14"/>
  <c r="Q124" i="14"/>
  <c r="S123" i="14"/>
  <c r="S121" i="14" s="1"/>
  <c r="R123" i="14"/>
  <c r="R121" i="14" s="1"/>
  <c r="Q123" i="14"/>
  <c r="Q121" i="14" s="1"/>
  <c r="N123" i="14"/>
  <c r="M123" i="14"/>
  <c r="M121" i="14" s="1"/>
  <c r="P121" i="14" s="1"/>
  <c r="L123" i="14"/>
  <c r="L121" i="14" s="1"/>
  <c r="O121" i="14" s="1"/>
  <c r="U122" i="14"/>
  <c r="T122" i="14"/>
  <c r="P122" i="14"/>
  <c r="O122" i="14"/>
  <c r="S119" i="14"/>
  <c r="R119" i="14"/>
  <c r="Q119" i="14"/>
  <c r="T119" i="14" s="1"/>
  <c r="P119" i="14"/>
  <c r="N119" i="14"/>
  <c r="M119" i="14"/>
  <c r="L119" i="14"/>
  <c r="O119" i="14" s="1"/>
  <c r="J117" i="14"/>
  <c r="I115" i="14"/>
  <c r="K115" i="14" s="1"/>
  <c r="I114" i="14"/>
  <c r="K114" i="14" s="1"/>
  <c r="I110" i="14"/>
  <c r="I94" i="14" s="1"/>
  <c r="K94" i="14" s="1"/>
  <c r="I109" i="14"/>
  <c r="U103" i="14"/>
  <c r="T103" i="14"/>
  <c r="N103" i="14"/>
  <c r="N101" i="14" s="1"/>
  <c r="M103" i="14"/>
  <c r="P103" i="14" s="1"/>
  <c r="L103" i="14"/>
  <c r="L101" i="14" s="1"/>
  <c r="O101" i="14" s="1"/>
  <c r="U102" i="14"/>
  <c r="T102" i="14"/>
  <c r="P102" i="14"/>
  <c r="O102" i="14"/>
  <c r="S101" i="14"/>
  <c r="R101" i="14"/>
  <c r="U101" i="14" s="1"/>
  <c r="Q101" i="14"/>
  <c r="T101" i="14" s="1"/>
  <c r="S100" i="14"/>
  <c r="S97" i="14" s="1"/>
  <c r="R100" i="14"/>
  <c r="R97" i="14" s="1"/>
  <c r="R95" i="14" s="1"/>
  <c r="Q100" i="14"/>
  <c r="Q98" i="14" s="1"/>
  <c r="N100" i="14"/>
  <c r="M100" i="14"/>
  <c r="P100" i="14" s="1"/>
  <c r="L100" i="14"/>
  <c r="O100" i="14" s="1"/>
  <c r="U99" i="14"/>
  <c r="T99" i="14"/>
  <c r="P99" i="14"/>
  <c r="O99" i="14"/>
  <c r="M98" i="14"/>
  <c r="P98" i="14" s="1"/>
  <c r="U96" i="14"/>
  <c r="S96" i="14"/>
  <c r="R96" i="14"/>
  <c r="Q96" i="14"/>
  <c r="T96" i="14" s="1"/>
  <c r="N96" i="14"/>
  <c r="M96" i="14"/>
  <c r="P96" i="14" s="1"/>
  <c r="L96" i="14"/>
  <c r="O96" i="14" s="1"/>
  <c r="J94" i="14"/>
  <c r="J93" i="14"/>
  <c r="I91" i="14"/>
  <c r="K91" i="14" s="1"/>
  <c r="I90" i="14"/>
  <c r="K90" i="14" s="1"/>
  <c r="I89" i="14"/>
  <c r="K89" i="14" s="1"/>
  <c r="I88" i="14"/>
  <c r="K88" i="14" s="1"/>
  <c r="I87" i="14"/>
  <c r="I86" i="14"/>
  <c r="K86" i="14" s="1"/>
  <c r="I85" i="14"/>
  <c r="K85" i="14" s="1"/>
  <c r="J84" i="14"/>
  <c r="J83" i="14"/>
  <c r="U81" i="14"/>
  <c r="T81" i="14"/>
  <c r="N81" i="14"/>
  <c r="N79" i="14" s="1"/>
  <c r="M81" i="14"/>
  <c r="L81" i="14"/>
  <c r="U80" i="14"/>
  <c r="T80" i="14"/>
  <c r="P80" i="14"/>
  <c r="O80" i="14"/>
  <c r="T79" i="14"/>
  <c r="S79" i="14"/>
  <c r="R79" i="14"/>
  <c r="U79" i="14" s="1"/>
  <c r="Q79" i="14"/>
  <c r="S78" i="14"/>
  <c r="S76" i="14" s="1"/>
  <c r="R78" i="14"/>
  <c r="R75" i="14" s="1"/>
  <c r="U75" i="14" s="1"/>
  <c r="Q78" i="14"/>
  <c r="Q76" i="14" s="1"/>
  <c r="T76" i="14" s="1"/>
  <c r="N78" i="14"/>
  <c r="N76" i="14" s="1"/>
  <c r="M78" i="14"/>
  <c r="L78" i="14"/>
  <c r="L76" i="14" s="1"/>
  <c r="O76" i="14" s="1"/>
  <c r="U77" i="14"/>
  <c r="T77" i="14"/>
  <c r="P77" i="14"/>
  <c r="O77" i="14"/>
  <c r="U74" i="14"/>
  <c r="T74" i="14"/>
  <c r="S74" i="14"/>
  <c r="R74" i="14"/>
  <c r="Q74" i="14"/>
  <c r="O74" i="14"/>
  <c r="N74" i="14"/>
  <c r="M74" i="14"/>
  <c r="P74" i="14" s="1"/>
  <c r="L74" i="14"/>
  <c r="J72" i="14"/>
  <c r="J71" i="14"/>
  <c r="U68" i="14"/>
  <c r="T68" i="14"/>
  <c r="N68" i="14"/>
  <c r="M68" i="14"/>
  <c r="M66" i="14" s="1"/>
  <c r="P66" i="14" s="1"/>
  <c r="L68" i="14"/>
  <c r="L66" i="14" s="1"/>
  <c r="O66" i="14" s="1"/>
  <c r="U67" i="14"/>
  <c r="T67" i="14"/>
  <c r="P67" i="14"/>
  <c r="O67" i="14"/>
  <c r="U66" i="14"/>
  <c r="T66" i="14"/>
  <c r="S66" i="14"/>
  <c r="R66" i="14"/>
  <c r="Q66" i="14"/>
  <c r="U65" i="14"/>
  <c r="T65" i="14"/>
  <c r="N65" i="14"/>
  <c r="N63" i="14" s="1"/>
  <c r="M65" i="14"/>
  <c r="L65" i="14"/>
  <c r="U64" i="14"/>
  <c r="T64" i="14"/>
  <c r="P64" i="14"/>
  <c r="O64" i="14"/>
  <c r="S63" i="14"/>
  <c r="R63" i="14"/>
  <c r="U63" i="14" s="1"/>
  <c r="Q63" i="14"/>
  <c r="T63" i="14" s="1"/>
  <c r="U62" i="14"/>
  <c r="S62" i="14"/>
  <c r="S60" i="14" s="1"/>
  <c r="R62" i="14"/>
  <c r="Q62" i="14"/>
  <c r="T62" i="14" s="1"/>
  <c r="U61" i="14"/>
  <c r="T61" i="14"/>
  <c r="S61" i="14"/>
  <c r="R61" i="14"/>
  <c r="Q61" i="14"/>
  <c r="O61" i="14"/>
  <c r="N61" i="14"/>
  <c r="M61" i="14"/>
  <c r="P61" i="14" s="1"/>
  <c r="L61" i="14"/>
  <c r="U60" i="14"/>
  <c r="R60" i="14"/>
  <c r="Q60" i="14"/>
  <c r="T60" i="14" s="1"/>
  <c r="U53" i="14"/>
  <c r="T53" i="14"/>
  <c r="N53" i="14"/>
  <c r="N51" i="14" s="1"/>
  <c r="M53" i="14"/>
  <c r="M51" i="14" s="1"/>
  <c r="P51" i="14" s="1"/>
  <c r="L53" i="14"/>
  <c r="L51" i="14" s="1"/>
  <c r="O51" i="14" s="1"/>
  <c r="U52" i="14"/>
  <c r="T52" i="14"/>
  <c r="P52" i="14"/>
  <c r="O52" i="14"/>
  <c r="U51" i="14"/>
  <c r="T51" i="14"/>
  <c r="S51" i="14"/>
  <c r="R51" i="14"/>
  <c r="Q51" i="14"/>
  <c r="U50" i="14"/>
  <c r="T50" i="14"/>
  <c r="N50" i="14"/>
  <c r="N48" i="14" s="1"/>
  <c r="M50" i="14"/>
  <c r="L50" i="14"/>
  <c r="U49" i="14"/>
  <c r="T49" i="14"/>
  <c r="P49" i="14"/>
  <c r="O49" i="14"/>
  <c r="S48" i="14"/>
  <c r="R48" i="14"/>
  <c r="U48" i="14" s="1"/>
  <c r="Q48" i="14"/>
  <c r="T48" i="14" s="1"/>
  <c r="U47" i="14"/>
  <c r="T47" i="14"/>
  <c r="S47" i="14"/>
  <c r="R47" i="14"/>
  <c r="Q47" i="14"/>
  <c r="S46" i="14"/>
  <c r="R46" i="14"/>
  <c r="Q46" i="14"/>
  <c r="Q45" i="14" s="1"/>
  <c r="T45" i="14" s="1"/>
  <c r="O46" i="14"/>
  <c r="N46" i="14"/>
  <c r="M46" i="14"/>
  <c r="P46" i="14" s="1"/>
  <c r="L46" i="14"/>
  <c r="S45" i="14"/>
  <c r="U27" i="14"/>
  <c r="T27" i="14"/>
  <c r="S27" i="14"/>
  <c r="R27" i="14"/>
  <c r="Q27" i="14"/>
  <c r="S26" i="14"/>
  <c r="R26" i="14"/>
  <c r="Q26" i="14"/>
  <c r="T26" i="14" s="1"/>
  <c r="N26" i="14"/>
  <c r="M26" i="14"/>
  <c r="P26" i="14" s="1"/>
  <c r="L26" i="14"/>
  <c r="O26" i="14" s="1"/>
  <c r="S25" i="14"/>
  <c r="U23" i="14"/>
  <c r="S23" i="14"/>
  <c r="R23" i="14"/>
  <c r="Q23" i="14"/>
  <c r="P23" i="14"/>
  <c r="O23" i="14"/>
  <c r="N23" i="14"/>
  <c r="M23" i="14"/>
  <c r="L23" i="14"/>
  <c r="S20" i="14"/>
  <c r="Q20" i="14"/>
  <c r="P20" i="14"/>
  <c r="O20" i="14"/>
  <c r="N20" i="14"/>
  <c r="M20" i="14"/>
  <c r="L20" i="14"/>
  <c r="A790" i="13"/>
  <c r="A789" i="13"/>
  <c r="J786" i="13"/>
  <c r="I786" i="13"/>
  <c r="J785" i="13"/>
  <c r="I785" i="13"/>
  <c r="J784" i="13"/>
  <c r="I784" i="13"/>
  <c r="K784" i="13" s="1"/>
  <c r="J783" i="13"/>
  <c r="I783" i="13"/>
  <c r="K783" i="13" s="1"/>
  <c r="J782" i="13"/>
  <c r="I782" i="13"/>
  <c r="J781" i="13"/>
  <c r="I781" i="13"/>
  <c r="J780" i="13"/>
  <c r="I780" i="13"/>
  <c r="J779" i="13"/>
  <c r="I779" i="13"/>
  <c r="H778" i="13"/>
  <c r="I777" i="13"/>
  <c r="I776" i="13"/>
  <c r="I775" i="13"/>
  <c r="K775" i="13" s="1"/>
  <c r="I773" i="13"/>
  <c r="K773" i="13" s="1"/>
  <c r="I771" i="13"/>
  <c r="K771" i="13" s="1"/>
  <c r="U769" i="13"/>
  <c r="T769" i="13"/>
  <c r="P769" i="13"/>
  <c r="O769" i="13"/>
  <c r="U768" i="13"/>
  <c r="T768" i="13"/>
  <c r="P768" i="13"/>
  <c r="O768" i="13"/>
  <c r="T767" i="13"/>
  <c r="S767" i="13"/>
  <c r="R767" i="13"/>
  <c r="U767" i="13" s="1"/>
  <c r="Q767" i="13"/>
  <c r="N767" i="13"/>
  <c r="M767" i="13"/>
  <c r="P767" i="13" s="1"/>
  <c r="L767" i="13"/>
  <c r="O767" i="13" s="1"/>
  <c r="S766" i="13"/>
  <c r="R766" i="13"/>
  <c r="R764" i="13" s="1"/>
  <c r="U764" i="13" s="1"/>
  <c r="Q766" i="13"/>
  <c r="T766" i="13" s="1"/>
  <c r="P766" i="13"/>
  <c r="O766" i="13"/>
  <c r="U765" i="13"/>
  <c r="T765" i="13"/>
  <c r="P765" i="13"/>
  <c r="O765" i="13"/>
  <c r="P764" i="13"/>
  <c r="O764" i="13"/>
  <c r="N764" i="13"/>
  <c r="M764" i="13"/>
  <c r="L764" i="13"/>
  <c r="O763" i="13"/>
  <c r="N763" i="13"/>
  <c r="M763" i="13"/>
  <c r="P763" i="13" s="1"/>
  <c r="L763" i="13"/>
  <c r="S762" i="13"/>
  <c r="R762" i="13"/>
  <c r="U762" i="13" s="1"/>
  <c r="Q762" i="13"/>
  <c r="T762" i="13" s="1"/>
  <c r="N762" i="13"/>
  <c r="N761" i="13" s="1"/>
  <c r="M762" i="13"/>
  <c r="M761" i="13" s="1"/>
  <c r="P761" i="13" s="1"/>
  <c r="L762" i="13"/>
  <c r="O762" i="13" s="1"/>
  <c r="J760" i="13"/>
  <c r="J759" i="13"/>
  <c r="I756" i="13"/>
  <c r="K756" i="13" s="1"/>
  <c r="I753" i="13"/>
  <c r="K753" i="13" s="1"/>
  <c r="I750" i="13"/>
  <c r="K750" i="13" s="1"/>
  <c r="I747" i="13"/>
  <c r="K747" i="13" s="1"/>
  <c r="I745" i="13"/>
  <c r="K745" i="13" s="1"/>
  <c r="I743" i="13"/>
  <c r="K743" i="13" s="1"/>
  <c r="I741" i="13"/>
  <c r="K741" i="13" s="1"/>
  <c r="U737" i="13"/>
  <c r="T737" i="13"/>
  <c r="P737" i="13"/>
  <c r="O737" i="13"/>
  <c r="U736" i="13"/>
  <c r="T736" i="13"/>
  <c r="P736" i="13"/>
  <c r="O736" i="13"/>
  <c r="S735" i="13"/>
  <c r="R735" i="13"/>
  <c r="U735" i="13" s="1"/>
  <c r="Q735" i="13"/>
  <c r="T735" i="13" s="1"/>
  <c r="N735" i="13"/>
  <c r="M735" i="13"/>
  <c r="P735" i="13" s="1"/>
  <c r="L735" i="13"/>
  <c r="O735" i="13" s="1"/>
  <c r="S734" i="13"/>
  <c r="S732" i="13" s="1"/>
  <c r="R734" i="13"/>
  <c r="R731" i="13" s="1"/>
  <c r="Q734" i="13"/>
  <c r="Q732" i="13" s="1"/>
  <c r="P734" i="13"/>
  <c r="O734" i="13"/>
  <c r="U733" i="13"/>
  <c r="T733" i="13"/>
  <c r="P733" i="13"/>
  <c r="O733" i="13"/>
  <c r="P732" i="13"/>
  <c r="O732" i="13"/>
  <c r="N732" i="13"/>
  <c r="M732" i="13"/>
  <c r="L732" i="13"/>
  <c r="N731" i="13"/>
  <c r="N729" i="13" s="1"/>
  <c r="M731" i="13"/>
  <c r="P731" i="13" s="1"/>
  <c r="L731" i="13"/>
  <c r="O731" i="13" s="1"/>
  <c r="S730" i="13"/>
  <c r="R730" i="13"/>
  <c r="Q730" i="13"/>
  <c r="T730" i="13" s="1"/>
  <c r="P730" i="13"/>
  <c r="N730" i="13"/>
  <c r="M730" i="13"/>
  <c r="L730" i="13"/>
  <c r="L729" i="13" s="1"/>
  <c r="O729" i="13" s="1"/>
  <c r="J728" i="13"/>
  <c r="I728" i="13"/>
  <c r="K728" i="13" s="1"/>
  <c r="J727" i="13"/>
  <c r="I727" i="13"/>
  <c r="K727" i="13" s="1"/>
  <c r="U723" i="13"/>
  <c r="T723" i="13"/>
  <c r="P723" i="13"/>
  <c r="O723" i="13"/>
  <c r="U722" i="13"/>
  <c r="T722" i="13"/>
  <c r="P722" i="13"/>
  <c r="O722" i="13"/>
  <c r="U721" i="13"/>
  <c r="T721" i="13"/>
  <c r="S721" i="13"/>
  <c r="R721" i="13"/>
  <c r="Q721" i="13"/>
  <c r="P721" i="13"/>
  <c r="O721" i="13"/>
  <c r="N721" i="13"/>
  <c r="M721" i="13"/>
  <c r="L721" i="13"/>
  <c r="U720" i="13"/>
  <c r="T720" i="13"/>
  <c r="P720" i="13"/>
  <c r="O720" i="13"/>
  <c r="U719" i="13"/>
  <c r="T719" i="13"/>
  <c r="P719" i="13"/>
  <c r="O719" i="13"/>
  <c r="U718" i="13"/>
  <c r="T718" i="13"/>
  <c r="S718" i="13"/>
  <c r="R718" i="13"/>
  <c r="Q718" i="13"/>
  <c r="P718" i="13"/>
  <c r="O718" i="13"/>
  <c r="N718" i="13"/>
  <c r="M718" i="13"/>
  <c r="L718" i="13"/>
  <c r="T717" i="13"/>
  <c r="S717" i="13"/>
  <c r="S715" i="13" s="1"/>
  <c r="R717" i="13"/>
  <c r="U717" i="13" s="1"/>
  <c r="Q717" i="13"/>
  <c r="N717" i="13"/>
  <c r="N715" i="13" s="1"/>
  <c r="M717" i="13"/>
  <c r="P717" i="13" s="1"/>
  <c r="L717" i="13"/>
  <c r="O717" i="13" s="1"/>
  <c r="S716" i="13"/>
  <c r="R716" i="13"/>
  <c r="R715" i="13" s="1"/>
  <c r="U715" i="13" s="1"/>
  <c r="Q716" i="13"/>
  <c r="T716" i="13" s="1"/>
  <c r="P716" i="13"/>
  <c r="N716" i="13"/>
  <c r="M716" i="13"/>
  <c r="L716" i="13"/>
  <c r="L715" i="13" s="1"/>
  <c r="O715" i="13" s="1"/>
  <c r="K713" i="13"/>
  <c r="J713" i="13"/>
  <c r="K711" i="13"/>
  <c r="J711" i="13"/>
  <c r="J710" i="13"/>
  <c r="I710" i="13"/>
  <c r="K709" i="13"/>
  <c r="J709" i="13"/>
  <c r="J708" i="13"/>
  <c r="J690" i="13" s="1"/>
  <c r="I708" i="13"/>
  <c r="I690" i="13" s="1"/>
  <c r="K690" i="13" s="1"/>
  <c r="K707" i="13"/>
  <c r="J707" i="13"/>
  <c r="J706" i="13"/>
  <c r="I706" i="13"/>
  <c r="K705" i="13"/>
  <c r="J705" i="13"/>
  <c r="J704" i="13"/>
  <c r="I704" i="13"/>
  <c r="K704" i="13" s="1"/>
  <c r="K703" i="13"/>
  <c r="I701" i="13"/>
  <c r="K701" i="13" s="1"/>
  <c r="U699" i="13"/>
  <c r="T699" i="13"/>
  <c r="P699" i="13"/>
  <c r="O699" i="13"/>
  <c r="U698" i="13"/>
  <c r="T698" i="13"/>
  <c r="P698" i="13"/>
  <c r="O698" i="13"/>
  <c r="U697" i="13"/>
  <c r="T697" i="13"/>
  <c r="S697" i="13"/>
  <c r="R697" i="13"/>
  <c r="Q697" i="13"/>
  <c r="O697" i="13"/>
  <c r="N697" i="13"/>
  <c r="M697" i="13"/>
  <c r="P697" i="13" s="1"/>
  <c r="L697" i="13"/>
  <c r="S696" i="13"/>
  <c r="S694" i="13" s="1"/>
  <c r="R696" i="13"/>
  <c r="R694" i="13" s="1"/>
  <c r="Q696" i="13"/>
  <c r="P696" i="13"/>
  <c r="O696" i="13"/>
  <c r="U695" i="13"/>
  <c r="T695" i="13"/>
  <c r="P695" i="13"/>
  <c r="O695" i="13"/>
  <c r="P694" i="13"/>
  <c r="N694" i="13"/>
  <c r="M694" i="13"/>
  <c r="L694" i="13"/>
  <c r="O694" i="13" s="1"/>
  <c r="P693" i="13"/>
  <c r="O693" i="13"/>
  <c r="N693" i="13"/>
  <c r="M693" i="13"/>
  <c r="L693" i="13"/>
  <c r="T692" i="13"/>
  <c r="S692" i="13"/>
  <c r="R692" i="13"/>
  <c r="U692" i="13" s="1"/>
  <c r="Q692" i="13"/>
  <c r="N692" i="13"/>
  <c r="N691" i="13" s="1"/>
  <c r="M692" i="13"/>
  <c r="P692" i="13" s="1"/>
  <c r="L692" i="13"/>
  <c r="O692" i="13" s="1"/>
  <c r="L691" i="13"/>
  <c r="O691" i="13" s="1"/>
  <c r="J683" i="13"/>
  <c r="I683" i="13"/>
  <c r="K683" i="13" s="1"/>
  <c r="J682" i="13"/>
  <c r="I682" i="13"/>
  <c r="K682" i="13" s="1"/>
  <c r="J681" i="13"/>
  <c r="J680" i="13"/>
  <c r="I680" i="13"/>
  <c r="K680" i="13" s="1"/>
  <c r="J679" i="13"/>
  <c r="I679" i="13"/>
  <c r="K679" i="13" s="1"/>
  <c r="J678" i="13"/>
  <c r="J677" i="13"/>
  <c r="I677" i="13"/>
  <c r="K677" i="13" s="1"/>
  <c r="I676" i="13"/>
  <c r="K676" i="13" s="1"/>
  <c r="I675" i="13"/>
  <c r="K675" i="13" s="1"/>
  <c r="J674" i="13"/>
  <c r="I674" i="13"/>
  <c r="K674" i="13" s="1"/>
  <c r="J673" i="13"/>
  <c r="J672" i="13"/>
  <c r="J662" i="13"/>
  <c r="I662" i="13"/>
  <c r="K662" i="13" s="1"/>
  <c r="I661" i="13"/>
  <c r="I658" i="13"/>
  <c r="J655" i="13"/>
  <c r="I655" i="13"/>
  <c r="K655" i="13" s="1"/>
  <c r="J654" i="13"/>
  <c r="I654" i="13"/>
  <c r="K654" i="13" s="1"/>
  <c r="J653" i="13"/>
  <c r="I653" i="13"/>
  <c r="K653" i="13" s="1"/>
  <c r="U651" i="13"/>
  <c r="T651" i="13"/>
  <c r="P651" i="13"/>
  <c r="O651" i="13"/>
  <c r="U650" i="13"/>
  <c r="T650" i="13"/>
  <c r="P650" i="13"/>
  <c r="O650" i="13"/>
  <c r="U649" i="13"/>
  <c r="T649" i="13"/>
  <c r="S649" i="13"/>
  <c r="R649" i="13"/>
  <c r="Q649" i="13"/>
  <c r="O649" i="13"/>
  <c r="N649" i="13"/>
  <c r="M649" i="13"/>
  <c r="P649" i="13" s="1"/>
  <c r="L649" i="13"/>
  <c r="S648" i="13"/>
  <c r="S646" i="13" s="1"/>
  <c r="R648" i="13"/>
  <c r="U648" i="13" s="1"/>
  <c r="Q648" i="13"/>
  <c r="T648" i="13" s="1"/>
  <c r="P648" i="13"/>
  <c r="O648" i="13"/>
  <c r="U647" i="13"/>
  <c r="T647" i="13"/>
  <c r="P647" i="13"/>
  <c r="O647" i="13"/>
  <c r="P646" i="13"/>
  <c r="N646" i="13"/>
  <c r="M646" i="13"/>
  <c r="L646" i="13"/>
  <c r="O646" i="13" s="1"/>
  <c r="P645" i="13"/>
  <c r="O645" i="13"/>
  <c r="N645" i="13"/>
  <c r="M645" i="13"/>
  <c r="L645" i="13"/>
  <c r="T644" i="13"/>
  <c r="S644" i="13"/>
  <c r="R644" i="13"/>
  <c r="U644" i="13" s="1"/>
  <c r="Q644" i="13"/>
  <c r="N644" i="13"/>
  <c r="N643" i="13" s="1"/>
  <c r="M644" i="13"/>
  <c r="P644" i="13" s="1"/>
  <c r="L644" i="13"/>
  <c r="O644" i="13" s="1"/>
  <c r="L643" i="13"/>
  <c r="O643" i="13" s="1"/>
  <c r="J637" i="13"/>
  <c r="J636" i="13" s="1"/>
  <c r="I636" i="13"/>
  <c r="K636" i="13" s="1"/>
  <c r="J633" i="13"/>
  <c r="J627" i="13" s="1"/>
  <c r="I629" i="13"/>
  <c r="K629" i="13" s="1"/>
  <c r="I628" i="13"/>
  <c r="K628" i="13" s="1"/>
  <c r="I627" i="13"/>
  <c r="I616" i="13" s="1"/>
  <c r="U625" i="13"/>
  <c r="T625" i="13"/>
  <c r="P625" i="13"/>
  <c r="O625" i="13"/>
  <c r="U624" i="13"/>
  <c r="T624" i="13"/>
  <c r="P624" i="13"/>
  <c r="O624" i="13"/>
  <c r="U623" i="13"/>
  <c r="T623" i="13"/>
  <c r="S623" i="13"/>
  <c r="R623" i="13"/>
  <c r="Q623" i="13"/>
  <c r="P623" i="13"/>
  <c r="O623" i="13"/>
  <c r="N623" i="13"/>
  <c r="M623" i="13"/>
  <c r="L623" i="13"/>
  <c r="S622" i="13"/>
  <c r="S619" i="13" s="1"/>
  <c r="S617" i="13" s="1"/>
  <c r="R622" i="13"/>
  <c r="Q622" i="13"/>
  <c r="Q620" i="13" s="1"/>
  <c r="P622" i="13"/>
  <c r="O622" i="13"/>
  <c r="U621" i="13"/>
  <c r="T621" i="13"/>
  <c r="P621" i="13"/>
  <c r="O621" i="13"/>
  <c r="N620" i="13"/>
  <c r="M620" i="13"/>
  <c r="P620" i="13" s="1"/>
  <c r="L620" i="13"/>
  <c r="O620" i="13" s="1"/>
  <c r="P619" i="13"/>
  <c r="O619" i="13"/>
  <c r="N619" i="13"/>
  <c r="M619" i="13"/>
  <c r="L619" i="13"/>
  <c r="U618" i="13"/>
  <c r="T618" i="13"/>
  <c r="S618" i="13"/>
  <c r="R618" i="13"/>
  <c r="Q618" i="13"/>
  <c r="O618" i="13"/>
  <c r="N618" i="13"/>
  <c r="N617" i="13" s="1"/>
  <c r="M618" i="13"/>
  <c r="P618" i="13" s="1"/>
  <c r="L618" i="13"/>
  <c r="M617" i="13"/>
  <c r="P617" i="13" s="1"/>
  <c r="L617" i="13"/>
  <c r="O617" i="13" s="1"/>
  <c r="U608" i="13"/>
  <c r="T608" i="13"/>
  <c r="P608" i="13"/>
  <c r="O608" i="13"/>
  <c r="U607" i="13"/>
  <c r="T607" i="13"/>
  <c r="P607" i="13"/>
  <c r="O607" i="13"/>
  <c r="U606" i="13"/>
  <c r="T606" i="13"/>
  <c r="S606" i="13"/>
  <c r="R606" i="13"/>
  <c r="Q606" i="13"/>
  <c r="P606" i="13"/>
  <c r="O606" i="13"/>
  <c r="N606" i="13"/>
  <c r="M606" i="13"/>
  <c r="L606" i="13"/>
  <c r="U605" i="13"/>
  <c r="T605" i="13"/>
  <c r="P605" i="13"/>
  <c r="O605" i="13"/>
  <c r="U604" i="13"/>
  <c r="T604" i="13"/>
  <c r="P604" i="13"/>
  <c r="O604" i="13"/>
  <c r="U603" i="13"/>
  <c r="T603" i="13"/>
  <c r="S603" i="13"/>
  <c r="R603" i="13"/>
  <c r="Q603" i="13"/>
  <c r="P603" i="13"/>
  <c r="O603" i="13"/>
  <c r="N603" i="13"/>
  <c r="M603" i="13"/>
  <c r="L603" i="13"/>
  <c r="T602" i="13"/>
  <c r="S602" i="13"/>
  <c r="S600" i="13" s="1"/>
  <c r="R602" i="13"/>
  <c r="U602" i="13" s="1"/>
  <c r="Q602" i="13"/>
  <c r="N602" i="13"/>
  <c r="M602" i="13"/>
  <c r="P602" i="13" s="1"/>
  <c r="L602" i="13"/>
  <c r="O602" i="13" s="1"/>
  <c r="S601" i="13"/>
  <c r="R601" i="13"/>
  <c r="R600" i="13" s="1"/>
  <c r="U600" i="13" s="1"/>
  <c r="Q601" i="13"/>
  <c r="T601" i="13" s="1"/>
  <c r="P601" i="13"/>
  <c r="N601" i="13"/>
  <c r="M601" i="13"/>
  <c r="L601" i="13"/>
  <c r="L600" i="13" s="1"/>
  <c r="O600" i="13" s="1"/>
  <c r="N600" i="13"/>
  <c r="U585" i="13"/>
  <c r="T585" i="13"/>
  <c r="P585" i="13"/>
  <c r="O585" i="13"/>
  <c r="U584" i="13"/>
  <c r="T584" i="13"/>
  <c r="P584" i="13"/>
  <c r="O584" i="13"/>
  <c r="U583" i="13"/>
  <c r="T583" i="13"/>
  <c r="S583" i="13"/>
  <c r="R583" i="13"/>
  <c r="Q583" i="13"/>
  <c r="P583" i="13"/>
  <c r="O583" i="13"/>
  <c r="N583" i="13"/>
  <c r="M583" i="13"/>
  <c r="L583" i="13"/>
  <c r="U582" i="13"/>
  <c r="T582" i="13"/>
  <c r="P582" i="13"/>
  <c r="O582" i="13"/>
  <c r="U581" i="13"/>
  <c r="T581" i="13"/>
  <c r="P581" i="13"/>
  <c r="O581" i="13"/>
  <c r="U580" i="13"/>
  <c r="T580" i="13"/>
  <c r="S580" i="13"/>
  <c r="R580" i="13"/>
  <c r="Q580" i="13"/>
  <c r="P580" i="13"/>
  <c r="O580" i="13"/>
  <c r="N580" i="13"/>
  <c r="M580" i="13"/>
  <c r="L580" i="13"/>
  <c r="T579" i="13"/>
  <c r="S579" i="13"/>
  <c r="S577" i="13" s="1"/>
  <c r="R579" i="13"/>
  <c r="U579" i="13" s="1"/>
  <c r="Q579" i="13"/>
  <c r="N579" i="13"/>
  <c r="M579" i="13"/>
  <c r="P579" i="13" s="1"/>
  <c r="L579" i="13"/>
  <c r="O579" i="13" s="1"/>
  <c r="S578" i="13"/>
  <c r="R578" i="13"/>
  <c r="R577" i="13" s="1"/>
  <c r="U577" i="13" s="1"/>
  <c r="Q578" i="13"/>
  <c r="T578" i="13" s="1"/>
  <c r="P578" i="13"/>
  <c r="N578" i="13"/>
  <c r="M578" i="13"/>
  <c r="L578" i="13"/>
  <c r="L577" i="13" s="1"/>
  <c r="O577" i="13" s="1"/>
  <c r="N577" i="13"/>
  <c r="J576" i="13"/>
  <c r="I576" i="13"/>
  <c r="K576" i="13" s="1"/>
  <c r="U564" i="13"/>
  <c r="T564" i="13"/>
  <c r="P564" i="13"/>
  <c r="O564" i="13"/>
  <c r="U563" i="13"/>
  <c r="T563" i="13"/>
  <c r="P563" i="13"/>
  <c r="O563" i="13"/>
  <c r="S562" i="13"/>
  <c r="R562" i="13"/>
  <c r="U562" i="13" s="1"/>
  <c r="Q562" i="13"/>
  <c r="T562" i="13" s="1"/>
  <c r="N562" i="13"/>
  <c r="M562" i="13"/>
  <c r="P562" i="13" s="1"/>
  <c r="L562" i="13"/>
  <c r="O562" i="13" s="1"/>
  <c r="U561" i="13"/>
  <c r="T561" i="13"/>
  <c r="P561" i="13"/>
  <c r="O561" i="13"/>
  <c r="U560" i="13"/>
  <c r="T560" i="13"/>
  <c r="P560" i="13"/>
  <c r="O560" i="13"/>
  <c r="S559" i="13"/>
  <c r="R559" i="13"/>
  <c r="U559" i="13" s="1"/>
  <c r="Q559" i="13"/>
  <c r="T559" i="13" s="1"/>
  <c r="N559" i="13"/>
  <c r="M559" i="13"/>
  <c r="P559" i="13" s="1"/>
  <c r="L559" i="13"/>
  <c r="O559" i="13" s="1"/>
  <c r="U558" i="13"/>
  <c r="S558" i="13"/>
  <c r="R558" i="13"/>
  <c r="Q558" i="13"/>
  <c r="T558" i="13" s="1"/>
  <c r="P558" i="13"/>
  <c r="O558" i="13"/>
  <c r="N558" i="13"/>
  <c r="M558" i="13"/>
  <c r="L558" i="13"/>
  <c r="U557" i="13"/>
  <c r="T557" i="13"/>
  <c r="S557" i="13"/>
  <c r="R557" i="13"/>
  <c r="Q557" i="13"/>
  <c r="O557" i="13"/>
  <c r="N557" i="13"/>
  <c r="N556" i="13" s="1"/>
  <c r="M557" i="13"/>
  <c r="P557" i="13" s="1"/>
  <c r="L557" i="13"/>
  <c r="S556" i="13"/>
  <c r="R556" i="13"/>
  <c r="U556" i="13" s="1"/>
  <c r="Q556" i="13"/>
  <c r="T556" i="13" s="1"/>
  <c r="M556" i="13"/>
  <c r="P556" i="13" s="1"/>
  <c r="L556" i="13"/>
  <c r="O556" i="13" s="1"/>
  <c r="K555" i="13"/>
  <c r="J555" i="13"/>
  <c r="I555" i="13"/>
  <c r="U543" i="13"/>
  <c r="T543" i="13"/>
  <c r="P543" i="13"/>
  <c r="O543" i="13"/>
  <c r="U542" i="13"/>
  <c r="T542" i="13"/>
  <c r="P542" i="13"/>
  <c r="O542" i="13"/>
  <c r="U541" i="13"/>
  <c r="T541" i="13"/>
  <c r="S541" i="13"/>
  <c r="R541" i="13"/>
  <c r="Q541" i="13"/>
  <c r="P541" i="13"/>
  <c r="O541" i="13"/>
  <c r="N541" i="13"/>
  <c r="M541" i="13"/>
  <c r="L541" i="13"/>
  <c r="U540" i="13"/>
  <c r="T540" i="13"/>
  <c r="P540" i="13"/>
  <c r="O540" i="13"/>
  <c r="U539" i="13"/>
  <c r="T539" i="13"/>
  <c r="P539" i="13"/>
  <c r="O539" i="13"/>
  <c r="U538" i="13"/>
  <c r="T538" i="13"/>
  <c r="S538" i="13"/>
  <c r="R538" i="13"/>
  <c r="Q538" i="13"/>
  <c r="P538" i="13"/>
  <c r="O538" i="13"/>
  <c r="N538" i="13"/>
  <c r="M538" i="13"/>
  <c r="L538" i="13"/>
  <c r="T537" i="13"/>
  <c r="S537" i="13"/>
  <c r="S535" i="13" s="1"/>
  <c r="R537" i="13"/>
  <c r="U537" i="13" s="1"/>
  <c r="Q537" i="13"/>
  <c r="N537" i="13"/>
  <c r="M537" i="13"/>
  <c r="P537" i="13" s="1"/>
  <c r="L537" i="13"/>
  <c r="O537" i="13" s="1"/>
  <c r="S536" i="13"/>
  <c r="R536" i="13"/>
  <c r="R535" i="13" s="1"/>
  <c r="U535" i="13" s="1"/>
  <c r="Q536" i="13"/>
  <c r="T536" i="13" s="1"/>
  <c r="P536" i="13"/>
  <c r="N536" i="13"/>
  <c r="M536" i="13"/>
  <c r="L536" i="13"/>
  <c r="L535" i="13" s="1"/>
  <c r="O535" i="13" s="1"/>
  <c r="N535" i="13"/>
  <c r="J534" i="13"/>
  <c r="I534" i="13"/>
  <c r="K534" i="13" s="1"/>
  <c r="K525" i="13"/>
  <c r="K524" i="13"/>
  <c r="U522" i="13"/>
  <c r="T522" i="13"/>
  <c r="N522" i="13"/>
  <c r="N520" i="13" s="1"/>
  <c r="M522" i="13"/>
  <c r="M520" i="13" s="1"/>
  <c r="P520" i="13" s="1"/>
  <c r="L522" i="13"/>
  <c r="U521" i="13"/>
  <c r="T521" i="13"/>
  <c r="P521" i="13"/>
  <c r="O521" i="13"/>
  <c r="S520" i="13"/>
  <c r="R520" i="13"/>
  <c r="U520" i="13" s="1"/>
  <c r="Q520" i="13"/>
  <c r="T520" i="13" s="1"/>
  <c r="U519" i="13"/>
  <c r="T519" i="13"/>
  <c r="N519" i="13"/>
  <c r="N517" i="13" s="1"/>
  <c r="M519" i="13"/>
  <c r="M517" i="13" s="1"/>
  <c r="P517" i="13" s="1"/>
  <c r="L519" i="13"/>
  <c r="O519" i="13" s="1"/>
  <c r="U518" i="13"/>
  <c r="T518" i="13"/>
  <c r="P518" i="13"/>
  <c r="O518" i="13"/>
  <c r="U517" i="13"/>
  <c r="T517" i="13"/>
  <c r="S517" i="13"/>
  <c r="R517" i="13"/>
  <c r="Q517" i="13"/>
  <c r="S516" i="13"/>
  <c r="R516" i="13"/>
  <c r="U516" i="13" s="1"/>
  <c r="Q516" i="13"/>
  <c r="T516" i="13" s="1"/>
  <c r="U515" i="13"/>
  <c r="S515" i="13"/>
  <c r="R515" i="13"/>
  <c r="Q515" i="13"/>
  <c r="Q514" i="13" s="1"/>
  <c r="T514" i="13" s="1"/>
  <c r="P515" i="13"/>
  <c r="O515" i="13"/>
  <c r="N515" i="13"/>
  <c r="M515" i="13"/>
  <c r="L515" i="13"/>
  <c r="S514" i="13"/>
  <c r="K513" i="13"/>
  <c r="J513" i="13"/>
  <c r="I513" i="13"/>
  <c r="I510" i="13"/>
  <c r="K510" i="13" s="1"/>
  <c r="K509" i="13"/>
  <c r="I508" i="13"/>
  <c r="K508" i="13" s="1"/>
  <c r="I507" i="13"/>
  <c r="K507" i="13" s="1"/>
  <c r="I506" i="13"/>
  <c r="K506" i="13" s="1"/>
  <c r="I505" i="13"/>
  <c r="K505" i="13" s="1"/>
  <c r="I504" i="13"/>
  <c r="U502" i="13"/>
  <c r="T502" i="13"/>
  <c r="P502" i="13"/>
  <c r="O502" i="13"/>
  <c r="U501" i="13"/>
  <c r="T501" i="13"/>
  <c r="P501" i="13"/>
  <c r="O501" i="13"/>
  <c r="S500" i="13"/>
  <c r="R500" i="13"/>
  <c r="U500" i="13" s="1"/>
  <c r="Q500" i="13"/>
  <c r="T500" i="13" s="1"/>
  <c r="P500" i="13"/>
  <c r="N500" i="13"/>
  <c r="M500" i="13"/>
  <c r="L500" i="13"/>
  <c r="O500" i="13" s="1"/>
  <c r="S499" i="13"/>
  <c r="S497" i="13" s="1"/>
  <c r="R499" i="13"/>
  <c r="R497" i="13" s="1"/>
  <c r="Q499" i="13"/>
  <c r="Q497" i="13" s="1"/>
  <c r="P499" i="13"/>
  <c r="O499" i="13"/>
  <c r="U498" i="13"/>
  <c r="T498" i="13"/>
  <c r="P498" i="13"/>
  <c r="O498" i="13"/>
  <c r="O497" i="13"/>
  <c r="N497" i="13"/>
  <c r="M497" i="13"/>
  <c r="P497" i="13" s="1"/>
  <c r="L497" i="13"/>
  <c r="N496" i="13"/>
  <c r="N494" i="13" s="1"/>
  <c r="M496" i="13"/>
  <c r="P496" i="13" s="1"/>
  <c r="L496" i="13"/>
  <c r="O496" i="13" s="1"/>
  <c r="U495" i="13"/>
  <c r="S495" i="13"/>
  <c r="R495" i="13"/>
  <c r="Q495" i="13"/>
  <c r="T495" i="13" s="1"/>
  <c r="P495" i="13"/>
  <c r="O495" i="13"/>
  <c r="N495" i="13"/>
  <c r="M495" i="13"/>
  <c r="L495" i="13"/>
  <c r="L494" i="13" s="1"/>
  <c r="O494" i="13" s="1"/>
  <c r="M494" i="13"/>
  <c r="P494" i="13" s="1"/>
  <c r="J486" i="13"/>
  <c r="I486" i="13"/>
  <c r="K486" i="13" s="1"/>
  <c r="J485" i="13"/>
  <c r="I485" i="13"/>
  <c r="K485" i="13" s="1"/>
  <c r="J484" i="13"/>
  <c r="J483" i="13"/>
  <c r="K478" i="13"/>
  <c r="J478" i="13"/>
  <c r="K477" i="13"/>
  <c r="J477" i="13"/>
  <c r="K476" i="13"/>
  <c r="J476" i="13"/>
  <c r="J469" i="13"/>
  <c r="J468" i="13"/>
  <c r="J461" i="13"/>
  <c r="J460" i="13"/>
  <c r="J459" i="13"/>
  <c r="I459" i="13"/>
  <c r="K459" i="13" s="1"/>
  <c r="J458" i="13"/>
  <c r="J457" i="13" s="1"/>
  <c r="I458" i="13"/>
  <c r="I457" i="13" s="1"/>
  <c r="K457" i="13" s="1"/>
  <c r="J448" i="13"/>
  <c r="J447" i="13"/>
  <c r="J441" i="13" s="1"/>
  <c r="J424" i="13" s="1"/>
  <c r="J413" i="13" s="1"/>
  <c r="J442" i="13"/>
  <c r="I442" i="13"/>
  <c r="K442" i="13" s="1"/>
  <c r="I441" i="13"/>
  <c r="K441" i="13" s="1"/>
  <c r="J434" i="13"/>
  <c r="I434" i="13"/>
  <c r="K434" i="13" s="1"/>
  <c r="J433" i="13"/>
  <c r="I433" i="13"/>
  <c r="K433" i="13" s="1"/>
  <c r="J426" i="13"/>
  <c r="I426" i="13"/>
  <c r="K426" i="13" s="1"/>
  <c r="J425" i="13"/>
  <c r="I425" i="13"/>
  <c r="K425" i="13" s="1"/>
  <c r="U422" i="13"/>
  <c r="T422" i="13"/>
  <c r="P422" i="13"/>
  <c r="O422" i="13"/>
  <c r="U421" i="13"/>
  <c r="T421" i="13"/>
  <c r="P421" i="13"/>
  <c r="O421" i="13"/>
  <c r="U420" i="13"/>
  <c r="S420" i="13"/>
  <c r="R420" i="13"/>
  <c r="Q420" i="13"/>
  <c r="T420" i="13" s="1"/>
  <c r="O420" i="13"/>
  <c r="N420" i="13"/>
  <c r="M420" i="13"/>
  <c r="P420" i="13" s="1"/>
  <c r="L420" i="13"/>
  <c r="S419" i="13"/>
  <c r="S417" i="13" s="1"/>
  <c r="R419" i="13"/>
  <c r="R416" i="13" s="1"/>
  <c r="Q419" i="13"/>
  <c r="T419" i="13" s="1"/>
  <c r="P419" i="13"/>
  <c r="O419" i="13"/>
  <c r="U418" i="13"/>
  <c r="T418" i="13"/>
  <c r="P418" i="13"/>
  <c r="O418" i="13"/>
  <c r="P417" i="13"/>
  <c r="N417" i="13"/>
  <c r="M417" i="13"/>
  <c r="L417" i="13"/>
  <c r="O417" i="13" s="1"/>
  <c r="P416" i="13"/>
  <c r="N416" i="13"/>
  <c r="M416" i="13"/>
  <c r="M414" i="13" s="1"/>
  <c r="P414" i="13" s="1"/>
  <c r="L416" i="13"/>
  <c r="O416" i="13" s="1"/>
  <c r="T415" i="13"/>
  <c r="S415" i="13"/>
  <c r="R415" i="13"/>
  <c r="U415" i="13" s="1"/>
  <c r="Q415" i="13"/>
  <c r="P415" i="13"/>
  <c r="N415" i="13"/>
  <c r="N414" i="13" s="1"/>
  <c r="M415" i="13"/>
  <c r="L415" i="13"/>
  <c r="O415" i="13" s="1"/>
  <c r="L414" i="13"/>
  <c r="O414" i="13" s="1"/>
  <c r="U401" i="13"/>
  <c r="T401" i="13"/>
  <c r="P401" i="13"/>
  <c r="O401" i="13"/>
  <c r="U400" i="13"/>
  <c r="T400" i="13"/>
  <c r="P400" i="13"/>
  <c r="O400" i="13"/>
  <c r="U399" i="13"/>
  <c r="S399" i="13"/>
  <c r="R399" i="13"/>
  <c r="Q399" i="13"/>
  <c r="T399" i="13" s="1"/>
  <c r="O399" i="13"/>
  <c r="N399" i="13"/>
  <c r="M399" i="13"/>
  <c r="P399" i="13" s="1"/>
  <c r="L399" i="13"/>
  <c r="U398" i="13"/>
  <c r="T398" i="13"/>
  <c r="P398" i="13"/>
  <c r="O398" i="13"/>
  <c r="U397" i="13"/>
  <c r="T397" i="13"/>
  <c r="P397" i="13"/>
  <c r="O397" i="13"/>
  <c r="U396" i="13"/>
  <c r="S396" i="13"/>
  <c r="R396" i="13"/>
  <c r="Q396" i="13"/>
  <c r="T396" i="13" s="1"/>
  <c r="O396" i="13"/>
  <c r="N396" i="13"/>
  <c r="M396" i="13"/>
  <c r="P396" i="13" s="1"/>
  <c r="L396" i="13"/>
  <c r="U395" i="13"/>
  <c r="S395" i="13"/>
  <c r="R395" i="13"/>
  <c r="Q395" i="13"/>
  <c r="T395" i="13" s="1"/>
  <c r="O395" i="13"/>
  <c r="N395" i="13"/>
  <c r="M395" i="13"/>
  <c r="P395" i="13" s="1"/>
  <c r="L395" i="13"/>
  <c r="U394" i="13"/>
  <c r="S394" i="13"/>
  <c r="R394" i="13"/>
  <c r="Q394" i="13"/>
  <c r="T394" i="13" s="1"/>
  <c r="O394" i="13"/>
  <c r="N394" i="13"/>
  <c r="N393" i="13" s="1"/>
  <c r="M394" i="13"/>
  <c r="P394" i="13" s="1"/>
  <c r="L394" i="13"/>
  <c r="S393" i="13"/>
  <c r="R393" i="13"/>
  <c r="U393" i="13" s="1"/>
  <c r="Q393" i="13"/>
  <c r="T393" i="13" s="1"/>
  <c r="M393" i="13"/>
  <c r="P393" i="13" s="1"/>
  <c r="L393" i="13"/>
  <c r="O393" i="13" s="1"/>
  <c r="K392" i="13"/>
  <c r="J392" i="13"/>
  <c r="I392" i="13"/>
  <c r="J389" i="13"/>
  <c r="I389" i="13"/>
  <c r="K389" i="13" s="1"/>
  <c r="K388" i="13"/>
  <c r="J388" i="13"/>
  <c r="J387" i="13"/>
  <c r="I387" i="13"/>
  <c r="K386" i="13"/>
  <c r="J386" i="13"/>
  <c r="U384" i="13"/>
  <c r="T384" i="13"/>
  <c r="P384" i="13"/>
  <c r="O384" i="13"/>
  <c r="U383" i="13"/>
  <c r="T383" i="13"/>
  <c r="P383" i="13"/>
  <c r="O383" i="13"/>
  <c r="T382" i="13"/>
  <c r="S382" i="13"/>
  <c r="R382" i="13"/>
  <c r="U382" i="13" s="1"/>
  <c r="Q382" i="13"/>
  <c r="N382" i="13"/>
  <c r="M382" i="13"/>
  <c r="P382" i="13" s="1"/>
  <c r="L382" i="13"/>
  <c r="O382" i="13" s="1"/>
  <c r="S381" i="13"/>
  <c r="S378" i="13" s="1"/>
  <c r="R381" i="13"/>
  <c r="U381" i="13" s="1"/>
  <c r="Q381" i="13"/>
  <c r="Q378" i="13" s="1"/>
  <c r="P381" i="13"/>
  <c r="O381" i="13"/>
  <c r="U380" i="13"/>
  <c r="T380" i="13"/>
  <c r="P380" i="13"/>
  <c r="O380" i="13"/>
  <c r="P379" i="13"/>
  <c r="O379" i="13"/>
  <c r="N379" i="13"/>
  <c r="M379" i="13"/>
  <c r="L379" i="13"/>
  <c r="O378" i="13"/>
  <c r="N378" i="13"/>
  <c r="N376" i="13" s="1"/>
  <c r="M378" i="13"/>
  <c r="P378" i="13" s="1"/>
  <c r="L378" i="13"/>
  <c r="S377" i="13"/>
  <c r="R377" i="13"/>
  <c r="U377" i="13" s="1"/>
  <c r="Q377" i="13"/>
  <c r="T377" i="13" s="1"/>
  <c r="N377" i="13"/>
  <c r="M377" i="13"/>
  <c r="P377" i="13" s="1"/>
  <c r="L377" i="13"/>
  <c r="O377" i="13" s="1"/>
  <c r="D374" i="13"/>
  <c r="K373" i="13"/>
  <c r="J373" i="13"/>
  <c r="J372" i="13"/>
  <c r="J366" i="13" s="1"/>
  <c r="I372" i="13"/>
  <c r="K371" i="13"/>
  <c r="J371" i="13"/>
  <c r="J370" i="13"/>
  <c r="I370" i="13"/>
  <c r="J369" i="13"/>
  <c r="I369" i="13"/>
  <c r="K368" i="13"/>
  <c r="J368" i="13"/>
  <c r="U365" i="13"/>
  <c r="T365" i="13"/>
  <c r="N365" i="13"/>
  <c r="N363" i="13" s="1"/>
  <c r="M365" i="13"/>
  <c r="M363" i="13" s="1"/>
  <c r="P363" i="13" s="1"/>
  <c r="L365" i="13"/>
  <c r="O365" i="13" s="1"/>
  <c r="U364" i="13"/>
  <c r="T364" i="13"/>
  <c r="P364" i="13"/>
  <c r="O364" i="13"/>
  <c r="U363" i="13"/>
  <c r="S363" i="13"/>
  <c r="R363" i="13"/>
  <c r="Q363" i="13"/>
  <c r="T363" i="13" s="1"/>
  <c r="U362" i="13"/>
  <c r="T362" i="13"/>
  <c r="N362" i="13"/>
  <c r="N360" i="13" s="1"/>
  <c r="M362" i="13"/>
  <c r="L362" i="13"/>
  <c r="L360" i="13" s="1"/>
  <c r="U361" i="13"/>
  <c r="T361" i="13"/>
  <c r="P361" i="13"/>
  <c r="O361" i="13"/>
  <c r="T360" i="13"/>
  <c r="S360" i="13"/>
  <c r="R360" i="13"/>
  <c r="U360" i="13" s="1"/>
  <c r="Q360" i="13"/>
  <c r="S359" i="13"/>
  <c r="R359" i="13"/>
  <c r="U359" i="13" s="1"/>
  <c r="Q359" i="13"/>
  <c r="T359" i="13" s="1"/>
  <c r="U358" i="13"/>
  <c r="T358" i="13"/>
  <c r="S358" i="13"/>
  <c r="R358" i="13"/>
  <c r="Q358" i="13"/>
  <c r="Q357" i="13" s="1"/>
  <c r="T357" i="13" s="1"/>
  <c r="P358" i="13"/>
  <c r="O358" i="13"/>
  <c r="N358" i="13"/>
  <c r="M358" i="13"/>
  <c r="L358" i="13"/>
  <c r="S357" i="13"/>
  <c r="R357" i="13"/>
  <c r="U357" i="13" s="1"/>
  <c r="D355" i="13"/>
  <c r="J354" i="13"/>
  <c r="J353" i="13"/>
  <c r="D351" i="13"/>
  <c r="J350" i="13"/>
  <c r="J349" i="13"/>
  <c r="J348" i="13"/>
  <c r="J347" i="13"/>
  <c r="I347" i="13"/>
  <c r="J345" i="13"/>
  <c r="I345" i="13"/>
  <c r="U342" i="13"/>
  <c r="T342" i="13"/>
  <c r="N342" i="13"/>
  <c r="N340" i="13" s="1"/>
  <c r="M342" i="13"/>
  <c r="P342" i="13" s="1"/>
  <c r="L342" i="13"/>
  <c r="O342" i="13" s="1"/>
  <c r="U341" i="13"/>
  <c r="T341" i="13"/>
  <c r="P341" i="13"/>
  <c r="O341" i="13"/>
  <c r="U340" i="13"/>
  <c r="T340" i="13"/>
  <c r="S340" i="13"/>
  <c r="R340" i="13"/>
  <c r="Q340" i="13"/>
  <c r="U339" i="13"/>
  <c r="T339" i="13"/>
  <c r="N339" i="13"/>
  <c r="N337" i="13" s="1"/>
  <c r="M339" i="13"/>
  <c r="M337" i="13" s="1"/>
  <c r="L339" i="13"/>
  <c r="L337" i="13" s="1"/>
  <c r="U338" i="13"/>
  <c r="T338" i="13"/>
  <c r="P338" i="13"/>
  <c r="O338" i="13"/>
  <c r="S337" i="13"/>
  <c r="R337" i="13"/>
  <c r="U337" i="13" s="1"/>
  <c r="Q337" i="13"/>
  <c r="T337" i="13" s="1"/>
  <c r="U336" i="13"/>
  <c r="T336" i="13"/>
  <c r="S336" i="13"/>
  <c r="R336" i="13"/>
  <c r="Q336" i="13"/>
  <c r="T335" i="13"/>
  <c r="S335" i="13"/>
  <c r="S334" i="13" s="1"/>
  <c r="R335" i="13"/>
  <c r="U335" i="13" s="1"/>
  <c r="Q335" i="13"/>
  <c r="N335" i="13"/>
  <c r="M335" i="13"/>
  <c r="P335" i="13" s="1"/>
  <c r="L335" i="13"/>
  <c r="O335" i="13" s="1"/>
  <c r="Q334" i="13"/>
  <c r="T334" i="13" s="1"/>
  <c r="I331" i="13"/>
  <c r="U329" i="13"/>
  <c r="T329" i="13"/>
  <c r="N329" i="13"/>
  <c r="N327" i="13" s="1"/>
  <c r="M329" i="13"/>
  <c r="L329" i="13"/>
  <c r="U328" i="13"/>
  <c r="T328" i="13"/>
  <c r="P328" i="13"/>
  <c r="O328" i="13"/>
  <c r="T327" i="13"/>
  <c r="S327" i="13"/>
  <c r="R327" i="13"/>
  <c r="U327" i="13" s="1"/>
  <c r="Q327" i="13"/>
  <c r="U326" i="13"/>
  <c r="T326" i="13"/>
  <c r="N326" i="13"/>
  <c r="M326" i="13"/>
  <c r="M324" i="13" s="1"/>
  <c r="L326" i="13"/>
  <c r="L324" i="13" s="1"/>
  <c r="U325" i="13"/>
  <c r="T325" i="13"/>
  <c r="P325" i="13"/>
  <c r="O325" i="13"/>
  <c r="U324" i="13"/>
  <c r="S324" i="13"/>
  <c r="R324" i="13"/>
  <c r="Q324" i="13"/>
  <c r="T324" i="13" s="1"/>
  <c r="U323" i="13"/>
  <c r="T323" i="13"/>
  <c r="S323" i="13"/>
  <c r="R323" i="13"/>
  <c r="Q323" i="13"/>
  <c r="S322" i="13"/>
  <c r="S321" i="13" s="1"/>
  <c r="R322" i="13"/>
  <c r="U322" i="13" s="1"/>
  <c r="Q322" i="13"/>
  <c r="T322" i="13" s="1"/>
  <c r="N322" i="13"/>
  <c r="M322" i="13"/>
  <c r="L322" i="13"/>
  <c r="O322" i="13" s="1"/>
  <c r="J320" i="13"/>
  <c r="I315" i="13"/>
  <c r="U312" i="13"/>
  <c r="T312" i="13"/>
  <c r="N312" i="13"/>
  <c r="N310" i="13" s="1"/>
  <c r="M312" i="13"/>
  <c r="L312" i="13"/>
  <c r="U311" i="13"/>
  <c r="T311" i="13"/>
  <c r="P311" i="13"/>
  <c r="O311" i="13"/>
  <c r="S310" i="13"/>
  <c r="R310" i="13"/>
  <c r="U310" i="13" s="1"/>
  <c r="Q310" i="13"/>
  <c r="T310" i="13" s="1"/>
  <c r="S309" i="13"/>
  <c r="S307" i="13" s="1"/>
  <c r="R309" i="13"/>
  <c r="Q309" i="13"/>
  <c r="Q307" i="13" s="1"/>
  <c r="N309" i="13"/>
  <c r="M309" i="13"/>
  <c r="L309" i="13"/>
  <c r="L307" i="13" s="1"/>
  <c r="O307" i="13" s="1"/>
  <c r="U308" i="13"/>
  <c r="T308" i="13"/>
  <c r="P308" i="13"/>
  <c r="O308" i="13"/>
  <c r="U305" i="13"/>
  <c r="T305" i="13"/>
  <c r="S305" i="13"/>
  <c r="R305" i="13"/>
  <c r="Q305" i="13"/>
  <c r="O305" i="13"/>
  <c r="N305" i="13"/>
  <c r="M305" i="13"/>
  <c r="P305" i="13" s="1"/>
  <c r="L305" i="13"/>
  <c r="J303" i="13"/>
  <c r="I297" i="13"/>
  <c r="K297" i="13" s="1"/>
  <c r="I296" i="13"/>
  <c r="K296" i="13" s="1"/>
  <c r="J294" i="13"/>
  <c r="I294" i="13"/>
  <c r="K294" i="13" s="1"/>
  <c r="I293" i="13"/>
  <c r="U291" i="13"/>
  <c r="T291" i="13"/>
  <c r="N291" i="13"/>
  <c r="N289" i="13" s="1"/>
  <c r="M291" i="13"/>
  <c r="P291" i="13" s="1"/>
  <c r="L291" i="13"/>
  <c r="L289" i="13" s="1"/>
  <c r="O289" i="13" s="1"/>
  <c r="U290" i="13"/>
  <c r="T290" i="13"/>
  <c r="P290" i="13"/>
  <c r="O290" i="13"/>
  <c r="U289" i="13"/>
  <c r="T289" i="13"/>
  <c r="S289" i="13"/>
  <c r="R289" i="13"/>
  <c r="Q289" i="13"/>
  <c r="U288" i="13"/>
  <c r="T288" i="13"/>
  <c r="N288" i="13"/>
  <c r="N286" i="13" s="1"/>
  <c r="M288" i="13"/>
  <c r="L288" i="13"/>
  <c r="O288" i="13" s="1"/>
  <c r="U287" i="13"/>
  <c r="T287" i="13"/>
  <c r="P287" i="13"/>
  <c r="O287" i="13"/>
  <c r="S286" i="13"/>
  <c r="R286" i="13"/>
  <c r="U286" i="13" s="1"/>
  <c r="Q286" i="13"/>
  <c r="T286" i="13" s="1"/>
  <c r="U285" i="13"/>
  <c r="S285" i="13"/>
  <c r="R285" i="13"/>
  <c r="Q285" i="13"/>
  <c r="T285" i="13" s="1"/>
  <c r="U284" i="13"/>
  <c r="T284" i="13"/>
  <c r="S284" i="13"/>
  <c r="S283" i="13" s="1"/>
  <c r="R284" i="13"/>
  <c r="Q284" i="13"/>
  <c r="O284" i="13"/>
  <c r="N284" i="13"/>
  <c r="M284" i="13"/>
  <c r="P284" i="13" s="1"/>
  <c r="L284" i="13"/>
  <c r="R283" i="13"/>
  <c r="U283" i="13" s="1"/>
  <c r="Q283" i="13"/>
  <c r="T283" i="13" s="1"/>
  <c r="J282" i="13"/>
  <c r="J281" i="13"/>
  <c r="I277" i="13"/>
  <c r="U275" i="13"/>
  <c r="T275" i="13"/>
  <c r="N275" i="13"/>
  <c r="N273" i="13" s="1"/>
  <c r="M275" i="13"/>
  <c r="P275" i="13" s="1"/>
  <c r="L275" i="13"/>
  <c r="O275" i="13" s="1"/>
  <c r="U274" i="13"/>
  <c r="T274" i="13"/>
  <c r="P274" i="13"/>
  <c r="O274" i="13"/>
  <c r="S273" i="13"/>
  <c r="R273" i="13"/>
  <c r="U273" i="13" s="1"/>
  <c r="Q273" i="13"/>
  <c r="T273" i="13" s="1"/>
  <c r="S272" i="13"/>
  <c r="S269" i="13" s="1"/>
  <c r="R272" i="13"/>
  <c r="R270" i="13" s="1"/>
  <c r="Q272" i="13"/>
  <c r="Q269" i="13" s="1"/>
  <c r="N272" i="13"/>
  <c r="M272" i="13"/>
  <c r="L272" i="13"/>
  <c r="U271" i="13"/>
  <c r="T271" i="13"/>
  <c r="P271" i="13"/>
  <c r="O271" i="13"/>
  <c r="T268" i="13"/>
  <c r="S268" i="13"/>
  <c r="R268" i="13"/>
  <c r="U268" i="13" s="1"/>
  <c r="Q268" i="13"/>
  <c r="N268" i="13"/>
  <c r="M268" i="13"/>
  <c r="P268" i="13" s="1"/>
  <c r="L268" i="13"/>
  <c r="O268" i="13" s="1"/>
  <c r="J266" i="13"/>
  <c r="K264" i="13"/>
  <c r="K263" i="13"/>
  <c r="I261" i="13"/>
  <c r="K261" i="13" s="1"/>
  <c r="L259" i="13"/>
  <c r="L258" i="13"/>
  <c r="L257" i="13"/>
  <c r="L256" i="13"/>
  <c r="P255" i="13"/>
  <c r="N255" i="13"/>
  <c r="J254" i="13"/>
  <c r="K253" i="13"/>
  <c r="K252" i="13"/>
  <c r="I250" i="13"/>
  <c r="K250" i="13" s="1"/>
  <c r="L248" i="13"/>
  <c r="L247" i="13"/>
  <c r="L246" i="13"/>
  <c r="L245" i="13"/>
  <c r="P244" i="13"/>
  <c r="N244" i="13"/>
  <c r="N233" i="13" s="1"/>
  <c r="J243" i="13"/>
  <c r="J232" i="13" s="1"/>
  <c r="J186" i="13" s="1"/>
  <c r="J242" i="13"/>
  <c r="I242" i="13"/>
  <c r="K242" i="13" s="1"/>
  <c r="K241" i="13"/>
  <c r="J241" i="13"/>
  <c r="I241" i="13"/>
  <c r="J239" i="13"/>
  <c r="N237" i="13"/>
  <c r="N236" i="13"/>
  <c r="N235" i="13"/>
  <c r="N234" i="13"/>
  <c r="I231" i="13"/>
  <c r="K231" i="13" s="1"/>
  <c r="I230" i="13"/>
  <c r="K230" i="13" s="1"/>
  <c r="I229" i="13"/>
  <c r="K229" i="13" s="1"/>
  <c r="L226" i="13"/>
  <c r="L225" i="13"/>
  <c r="L224" i="13"/>
  <c r="P223" i="13"/>
  <c r="N223" i="13"/>
  <c r="J222" i="13"/>
  <c r="I221" i="13"/>
  <c r="K221" i="13" s="1"/>
  <c r="I220" i="13"/>
  <c r="K220" i="13" s="1"/>
  <c r="L218" i="13"/>
  <c r="L217" i="13"/>
  <c r="L216" i="13"/>
  <c r="P215" i="13"/>
  <c r="N215" i="13"/>
  <c r="J214" i="13"/>
  <c r="I213" i="13"/>
  <c r="K213" i="13" s="1"/>
  <c r="I212" i="13"/>
  <c r="K212" i="13" s="1"/>
  <c r="I210" i="13"/>
  <c r="K210" i="13" s="1"/>
  <c r="L208" i="13"/>
  <c r="L207" i="13"/>
  <c r="L206" i="13"/>
  <c r="L205" i="13"/>
  <c r="P204" i="13"/>
  <c r="N204" i="13"/>
  <c r="J203" i="13"/>
  <c r="J200" i="13"/>
  <c r="I199" i="13"/>
  <c r="K199" i="13" s="1"/>
  <c r="P197" i="13"/>
  <c r="L197" i="13"/>
  <c r="O197" i="13" s="1"/>
  <c r="J196" i="13"/>
  <c r="U195" i="13"/>
  <c r="T195" i="13"/>
  <c r="N195" i="13"/>
  <c r="N193" i="13" s="1"/>
  <c r="M195" i="13"/>
  <c r="L195" i="13"/>
  <c r="O195" i="13" s="1"/>
  <c r="U194" i="13"/>
  <c r="T194" i="13"/>
  <c r="P194" i="13"/>
  <c r="O194" i="13"/>
  <c r="S193" i="13"/>
  <c r="R193" i="13"/>
  <c r="U193" i="13" s="1"/>
  <c r="Q193" i="13"/>
  <c r="T193" i="13" s="1"/>
  <c r="S192" i="13"/>
  <c r="S190" i="13" s="1"/>
  <c r="R192" i="13"/>
  <c r="Q192" i="13"/>
  <c r="Q190" i="13" s="1"/>
  <c r="N192" i="13"/>
  <c r="N190" i="13" s="1"/>
  <c r="M192" i="13"/>
  <c r="M190" i="13" s="1"/>
  <c r="L192" i="13"/>
  <c r="U191" i="13"/>
  <c r="T191" i="13"/>
  <c r="P191" i="13"/>
  <c r="O191" i="13"/>
  <c r="T188" i="13"/>
  <c r="S188" i="13"/>
  <c r="R188" i="13"/>
  <c r="U188" i="13" s="1"/>
  <c r="Q188" i="13"/>
  <c r="N188" i="13"/>
  <c r="M188" i="13"/>
  <c r="L188" i="13"/>
  <c r="O188" i="13" s="1"/>
  <c r="K185" i="13"/>
  <c r="I184" i="13"/>
  <c r="K184" i="13" s="1"/>
  <c r="U182" i="13"/>
  <c r="T182" i="13"/>
  <c r="N182" i="13"/>
  <c r="N180" i="13" s="1"/>
  <c r="M182" i="13"/>
  <c r="P182" i="13" s="1"/>
  <c r="L182" i="13"/>
  <c r="U181" i="13"/>
  <c r="T181" i="13"/>
  <c r="P181" i="13"/>
  <c r="O181" i="13"/>
  <c r="U180" i="13"/>
  <c r="T180" i="13"/>
  <c r="S180" i="13"/>
  <c r="R180" i="13"/>
  <c r="Q180" i="13"/>
  <c r="S179" i="13"/>
  <c r="R179" i="13"/>
  <c r="R176" i="13" s="1"/>
  <c r="U176" i="13" s="1"/>
  <c r="Q179" i="13"/>
  <c r="Q176" i="13" s="1"/>
  <c r="T176" i="13" s="1"/>
  <c r="N179" i="13"/>
  <c r="N177" i="13" s="1"/>
  <c r="M179" i="13"/>
  <c r="L179" i="13"/>
  <c r="U178" i="13"/>
  <c r="T178" i="13"/>
  <c r="P178" i="13"/>
  <c r="O178" i="13"/>
  <c r="U175" i="13"/>
  <c r="S175" i="13"/>
  <c r="R175" i="13"/>
  <c r="Q175" i="13"/>
  <c r="P175" i="13"/>
  <c r="O175" i="13"/>
  <c r="N175" i="13"/>
  <c r="M175" i="13"/>
  <c r="L175" i="13"/>
  <c r="J173" i="13"/>
  <c r="I170" i="13"/>
  <c r="K170" i="13" s="1"/>
  <c r="I169" i="13"/>
  <c r="K169" i="13" s="1"/>
  <c r="I168" i="13"/>
  <c r="K168" i="13" s="1"/>
  <c r="U166" i="13"/>
  <c r="T166" i="13"/>
  <c r="N166" i="13"/>
  <c r="M166" i="13"/>
  <c r="P166" i="13" s="1"/>
  <c r="L166" i="13"/>
  <c r="U165" i="13"/>
  <c r="T165" i="13"/>
  <c r="P165" i="13"/>
  <c r="O165" i="13"/>
  <c r="U164" i="13"/>
  <c r="T164" i="13"/>
  <c r="S164" i="13"/>
  <c r="R164" i="13"/>
  <c r="Q164" i="13"/>
  <c r="N164" i="13"/>
  <c r="S163" i="13"/>
  <c r="S161" i="13" s="1"/>
  <c r="R163" i="13"/>
  <c r="R160" i="13" s="1"/>
  <c r="U160" i="13" s="1"/>
  <c r="Q163" i="13"/>
  <c r="Q160" i="13" s="1"/>
  <c r="T160" i="13" s="1"/>
  <c r="N163" i="13"/>
  <c r="N161" i="13" s="1"/>
  <c r="M163" i="13"/>
  <c r="P163" i="13" s="1"/>
  <c r="L163" i="13"/>
  <c r="U162" i="13"/>
  <c r="T162" i="13"/>
  <c r="P162" i="13"/>
  <c r="O162" i="13"/>
  <c r="U159" i="13"/>
  <c r="S159" i="13"/>
  <c r="R159" i="13"/>
  <c r="Q159" i="13"/>
  <c r="P159" i="13"/>
  <c r="O159" i="13"/>
  <c r="N159" i="13"/>
  <c r="M159" i="13"/>
  <c r="L159" i="13"/>
  <c r="J157" i="13"/>
  <c r="I155" i="13"/>
  <c r="I137" i="13" s="1"/>
  <c r="K137" i="13" s="1"/>
  <c r="I154" i="13"/>
  <c r="K154" i="13" s="1"/>
  <c r="I153" i="13"/>
  <c r="I152" i="13"/>
  <c r="K152" i="13" s="1"/>
  <c r="I151" i="13"/>
  <c r="K151" i="13" s="1"/>
  <c r="U148" i="13"/>
  <c r="T148" i="13"/>
  <c r="N148" i="13"/>
  <c r="N146" i="13" s="1"/>
  <c r="M148" i="13"/>
  <c r="L148" i="13"/>
  <c r="L146" i="13" s="1"/>
  <c r="O146" i="13" s="1"/>
  <c r="U147" i="13"/>
  <c r="T147" i="13"/>
  <c r="P147" i="13"/>
  <c r="O147" i="13"/>
  <c r="S146" i="13"/>
  <c r="R146" i="13"/>
  <c r="U146" i="13" s="1"/>
  <c r="Q146" i="13"/>
  <c r="T146" i="13" s="1"/>
  <c r="S145" i="13"/>
  <c r="S142" i="13" s="1"/>
  <c r="R145" i="13"/>
  <c r="R143" i="13" s="1"/>
  <c r="U143" i="13" s="1"/>
  <c r="Q145" i="13"/>
  <c r="T145" i="13" s="1"/>
  <c r="N145" i="13"/>
  <c r="N143" i="13" s="1"/>
  <c r="M145" i="13"/>
  <c r="L145" i="13"/>
  <c r="L143" i="13" s="1"/>
  <c r="U144" i="13"/>
  <c r="T144" i="13"/>
  <c r="P144" i="13"/>
  <c r="O144" i="13"/>
  <c r="U141" i="13"/>
  <c r="T141" i="13"/>
  <c r="S141" i="13"/>
  <c r="R141" i="13"/>
  <c r="Q141" i="13"/>
  <c r="O141" i="13"/>
  <c r="N141" i="13"/>
  <c r="M141" i="13"/>
  <c r="L141" i="13"/>
  <c r="J139" i="13"/>
  <c r="J138" i="13"/>
  <c r="J137" i="13"/>
  <c r="I131" i="13"/>
  <c r="K131" i="13" s="1"/>
  <c r="I130" i="13"/>
  <c r="K130" i="13" s="1"/>
  <c r="I129" i="13"/>
  <c r="K129" i="13" s="1"/>
  <c r="I128" i="13"/>
  <c r="K128" i="13" s="1"/>
  <c r="U126" i="13"/>
  <c r="T126" i="13"/>
  <c r="N126" i="13"/>
  <c r="N124" i="13" s="1"/>
  <c r="M126" i="13"/>
  <c r="P126" i="13" s="1"/>
  <c r="L126" i="13"/>
  <c r="U125" i="13"/>
  <c r="T125" i="13"/>
  <c r="P125" i="13"/>
  <c r="O125" i="13"/>
  <c r="U124" i="13"/>
  <c r="T124" i="13"/>
  <c r="S124" i="13"/>
  <c r="R124" i="13"/>
  <c r="Q124" i="13"/>
  <c r="S123" i="13"/>
  <c r="S120" i="13" s="1"/>
  <c r="S118" i="13" s="1"/>
  <c r="R123" i="13"/>
  <c r="R120" i="13" s="1"/>
  <c r="Q123" i="13"/>
  <c r="Q121" i="13" s="1"/>
  <c r="N123" i="13"/>
  <c r="N121" i="13" s="1"/>
  <c r="M123" i="13"/>
  <c r="P123" i="13" s="1"/>
  <c r="L123" i="13"/>
  <c r="U122" i="13"/>
  <c r="T122" i="13"/>
  <c r="P122" i="13"/>
  <c r="O122" i="13"/>
  <c r="M121" i="13"/>
  <c r="P121" i="13" s="1"/>
  <c r="S119" i="13"/>
  <c r="R119" i="13"/>
  <c r="Q119" i="13"/>
  <c r="P119" i="13"/>
  <c r="O119" i="13"/>
  <c r="N119" i="13"/>
  <c r="M119" i="13"/>
  <c r="L119" i="13"/>
  <c r="J117" i="13"/>
  <c r="I115" i="13"/>
  <c r="K115" i="13" s="1"/>
  <c r="I114" i="13"/>
  <c r="K114" i="13" s="1"/>
  <c r="I110" i="13"/>
  <c r="I94" i="13" s="1"/>
  <c r="K94" i="13" s="1"/>
  <c r="I109" i="13"/>
  <c r="I93" i="13" s="1"/>
  <c r="K93" i="13" s="1"/>
  <c r="U103" i="13"/>
  <c r="T103" i="13"/>
  <c r="N103" i="13"/>
  <c r="N101" i="13" s="1"/>
  <c r="M103" i="13"/>
  <c r="P103" i="13" s="1"/>
  <c r="L103" i="13"/>
  <c r="O103" i="13" s="1"/>
  <c r="U102" i="13"/>
  <c r="T102" i="13"/>
  <c r="P102" i="13"/>
  <c r="O102" i="13"/>
  <c r="U101" i="13"/>
  <c r="T101" i="13"/>
  <c r="S101" i="13"/>
  <c r="R101" i="13"/>
  <c r="Q101" i="13"/>
  <c r="S100" i="13"/>
  <c r="S97" i="13" s="1"/>
  <c r="S95" i="13" s="1"/>
  <c r="R100" i="13"/>
  <c r="Q100" i="13"/>
  <c r="Q98" i="13" s="1"/>
  <c r="N100" i="13"/>
  <c r="N98" i="13" s="1"/>
  <c r="M100" i="13"/>
  <c r="P100" i="13" s="1"/>
  <c r="L100" i="13"/>
  <c r="O100" i="13" s="1"/>
  <c r="U99" i="13"/>
  <c r="T99" i="13"/>
  <c r="P99" i="13"/>
  <c r="O99" i="13"/>
  <c r="S96" i="13"/>
  <c r="R96" i="13"/>
  <c r="U96" i="13" s="1"/>
  <c r="Q96" i="13"/>
  <c r="T96" i="13" s="1"/>
  <c r="P96" i="13"/>
  <c r="N96" i="13"/>
  <c r="M96" i="13"/>
  <c r="L96" i="13"/>
  <c r="O96" i="13" s="1"/>
  <c r="J94" i="13"/>
  <c r="J93" i="13"/>
  <c r="I91" i="13"/>
  <c r="K91" i="13" s="1"/>
  <c r="I90" i="13"/>
  <c r="K90" i="13" s="1"/>
  <c r="I89" i="13"/>
  <c r="K89" i="13" s="1"/>
  <c r="I88" i="13"/>
  <c r="K88" i="13" s="1"/>
  <c r="I87" i="13"/>
  <c r="K87" i="13" s="1"/>
  <c r="I86" i="13"/>
  <c r="K86" i="13" s="1"/>
  <c r="I85" i="13"/>
  <c r="K85" i="13" s="1"/>
  <c r="J84" i="13"/>
  <c r="J72" i="13" s="1"/>
  <c r="J83" i="13"/>
  <c r="U81" i="13"/>
  <c r="T81" i="13"/>
  <c r="N81" i="13"/>
  <c r="N79" i="13" s="1"/>
  <c r="M81" i="13"/>
  <c r="M79" i="13" s="1"/>
  <c r="P79" i="13" s="1"/>
  <c r="L81" i="13"/>
  <c r="O81" i="13" s="1"/>
  <c r="U80" i="13"/>
  <c r="T80" i="13"/>
  <c r="P80" i="13"/>
  <c r="O80" i="13"/>
  <c r="U79" i="13"/>
  <c r="T79" i="13"/>
  <c r="S79" i="13"/>
  <c r="R79" i="13"/>
  <c r="Q79" i="13"/>
  <c r="S78" i="13"/>
  <c r="S76" i="13" s="1"/>
  <c r="R78" i="13"/>
  <c r="U78" i="13" s="1"/>
  <c r="Q78" i="13"/>
  <c r="T78" i="13" s="1"/>
  <c r="N78" i="13"/>
  <c r="N76" i="13" s="1"/>
  <c r="M78" i="13"/>
  <c r="M76" i="13" s="1"/>
  <c r="P76" i="13" s="1"/>
  <c r="L78" i="13"/>
  <c r="U77" i="13"/>
  <c r="T77" i="13"/>
  <c r="P77" i="13"/>
  <c r="O77" i="13"/>
  <c r="U74" i="13"/>
  <c r="S74" i="13"/>
  <c r="R74" i="13"/>
  <c r="Q74" i="13"/>
  <c r="T74" i="13" s="1"/>
  <c r="P74" i="13"/>
  <c r="O74" i="13"/>
  <c r="N74" i="13"/>
  <c r="M74" i="13"/>
  <c r="L74" i="13"/>
  <c r="J71" i="13"/>
  <c r="U68" i="13"/>
  <c r="T68" i="13"/>
  <c r="N68" i="13"/>
  <c r="M68" i="13"/>
  <c r="M66" i="13" s="1"/>
  <c r="P66" i="13" s="1"/>
  <c r="L68" i="13"/>
  <c r="O68" i="13" s="1"/>
  <c r="U67" i="13"/>
  <c r="T67" i="13"/>
  <c r="P67" i="13"/>
  <c r="O67" i="13"/>
  <c r="S66" i="13"/>
  <c r="R66" i="13"/>
  <c r="U66" i="13" s="1"/>
  <c r="Q66" i="13"/>
  <c r="T66" i="13" s="1"/>
  <c r="U65" i="13"/>
  <c r="T65" i="13"/>
  <c r="N65" i="13"/>
  <c r="N63" i="13" s="1"/>
  <c r="M65" i="13"/>
  <c r="M63" i="13" s="1"/>
  <c r="L65" i="13"/>
  <c r="L62" i="13" s="1"/>
  <c r="U64" i="13"/>
  <c r="T64" i="13"/>
  <c r="P64" i="13"/>
  <c r="O64" i="13"/>
  <c r="U63" i="13"/>
  <c r="T63" i="13"/>
  <c r="S63" i="13"/>
  <c r="R63" i="13"/>
  <c r="Q63" i="13"/>
  <c r="S62" i="13"/>
  <c r="S60" i="13" s="1"/>
  <c r="R62" i="13"/>
  <c r="U62" i="13" s="1"/>
  <c r="Q62" i="13"/>
  <c r="T62" i="13" s="1"/>
  <c r="U61" i="13"/>
  <c r="S61" i="13"/>
  <c r="R61" i="13"/>
  <c r="Q61" i="13"/>
  <c r="T61" i="13" s="1"/>
  <c r="P61" i="13"/>
  <c r="O61" i="13"/>
  <c r="N61" i="13"/>
  <c r="M61" i="13"/>
  <c r="L61" i="13"/>
  <c r="U60" i="13"/>
  <c r="R60" i="13"/>
  <c r="U53" i="13"/>
  <c r="T53" i="13"/>
  <c r="N53" i="13"/>
  <c r="M53" i="13"/>
  <c r="M51" i="13" s="1"/>
  <c r="P51" i="13" s="1"/>
  <c r="L53" i="13"/>
  <c r="L51" i="13" s="1"/>
  <c r="O51" i="13" s="1"/>
  <c r="U52" i="13"/>
  <c r="T52" i="13"/>
  <c r="P52" i="13"/>
  <c r="O52" i="13"/>
  <c r="S51" i="13"/>
  <c r="R51" i="13"/>
  <c r="U51" i="13" s="1"/>
  <c r="Q51" i="13"/>
  <c r="T51" i="13" s="1"/>
  <c r="U50" i="13"/>
  <c r="T50" i="13"/>
  <c r="N50" i="13"/>
  <c r="N48" i="13" s="1"/>
  <c r="M50" i="13"/>
  <c r="L50" i="13"/>
  <c r="L48" i="13" s="1"/>
  <c r="U49" i="13"/>
  <c r="T49" i="13"/>
  <c r="P49" i="13"/>
  <c r="O49" i="13"/>
  <c r="U48" i="13"/>
  <c r="T48" i="13"/>
  <c r="S48" i="13"/>
  <c r="R48" i="13"/>
  <c r="Q48" i="13"/>
  <c r="S47" i="13"/>
  <c r="S45" i="13" s="1"/>
  <c r="R47" i="13"/>
  <c r="U47" i="13" s="1"/>
  <c r="Q47" i="13"/>
  <c r="T47" i="13" s="1"/>
  <c r="U46" i="13"/>
  <c r="S46" i="13"/>
  <c r="R46" i="13"/>
  <c r="Q46" i="13"/>
  <c r="T46" i="13" s="1"/>
  <c r="P46" i="13"/>
  <c r="O46" i="13"/>
  <c r="N46" i="13"/>
  <c r="M46" i="13"/>
  <c r="L46" i="13"/>
  <c r="U45" i="13"/>
  <c r="R45" i="13"/>
  <c r="S27" i="13"/>
  <c r="R27" i="13"/>
  <c r="R25" i="13" s="1"/>
  <c r="U25" i="13" s="1"/>
  <c r="Q27" i="13"/>
  <c r="T27" i="13" s="1"/>
  <c r="U26" i="13"/>
  <c r="T26" i="13"/>
  <c r="S26" i="13"/>
  <c r="S25" i="13" s="1"/>
  <c r="R26" i="13"/>
  <c r="Q26" i="13"/>
  <c r="P26" i="13"/>
  <c r="O26" i="13"/>
  <c r="N26" i="13"/>
  <c r="M26" i="13"/>
  <c r="L26" i="13"/>
  <c r="T25" i="13"/>
  <c r="Q25" i="13"/>
  <c r="U23" i="13"/>
  <c r="T23" i="13"/>
  <c r="S23" i="13"/>
  <c r="R23" i="13"/>
  <c r="Q23" i="13"/>
  <c r="P23" i="13"/>
  <c r="O23" i="13"/>
  <c r="N23" i="13"/>
  <c r="M23" i="13"/>
  <c r="L23" i="13"/>
  <c r="U20" i="13"/>
  <c r="T20" i="13"/>
  <c r="S20" i="13"/>
  <c r="R20" i="13"/>
  <c r="Q20" i="13"/>
  <c r="P20" i="13"/>
  <c r="O20" i="13"/>
  <c r="N20" i="13"/>
  <c r="M20" i="13"/>
  <c r="L20" i="13"/>
  <c r="A790" i="12"/>
  <c r="A789" i="12"/>
  <c r="J786" i="12"/>
  <c r="I786" i="12"/>
  <c r="J785" i="12"/>
  <c r="I785" i="12"/>
  <c r="J784" i="12"/>
  <c r="I784" i="12"/>
  <c r="K784" i="12" s="1"/>
  <c r="J783" i="12"/>
  <c r="I783" i="12"/>
  <c r="K783" i="12" s="1"/>
  <c r="J782" i="12"/>
  <c r="I782" i="12"/>
  <c r="J781" i="12"/>
  <c r="I781" i="12"/>
  <c r="J780" i="12"/>
  <c r="I780" i="12"/>
  <c r="J779" i="12"/>
  <c r="I779" i="12"/>
  <c r="H778" i="12"/>
  <c r="I777" i="12"/>
  <c r="I776" i="12"/>
  <c r="I775" i="12"/>
  <c r="K775" i="12" s="1"/>
  <c r="I773" i="12"/>
  <c r="K773" i="12" s="1"/>
  <c r="I771" i="12"/>
  <c r="K771" i="12" s="1"/>
  <c r="U769" i="12"/>
  <c r="T769" i="12"/>
  <c r="P769" i="12"/>
  <c r="O769" i="12"/>
  <c r="U768" i="12"/>
  <c r="T768" i="12"/>
  <c r="P768" i="12"/>
  <c r="O768" i="12"/>
  <c r="U767" i="12"/>
  <c r="T767" i="12"/>
  <c r="S767" i="12"/>
  <c r="R767" i="12"/>
  <c r="Q767" i="12"/>
  <c r="O767" i="12"/>
  <c r="N767" i="12"/>
  <c r="M767" i="12"/>
  <c r="P767" i="12" s="1"/>
  <c r="L767" i="12"/>
  <c r="S766" i="12"/>
  <c r="S764" i="12" s="1"/>
  <c r="R766" i="12"/>
  <c r="R764" i="12" s="1"/>
  <c r="Q766" i="12"/>
  <c r="Q764" i="12" s="1"/>
  <c r="P766" i="12"/>
  <c r="O766" i="12"/>
  <c r="U765" i="12"/>
  <c r="T765" i="12"/>
  <c r="P765" i="12"/>
  <c r="O765" i="12"/>
  <c r="P764" i="12"/>
  <c r="N764" i="12"/>
  <c r="M764" i="12"/>
  <c r="L764" i="12"/>
  <c r="O764" i="12" s="1"/>
  <c r="P763" i="12"/>
  <c r="O763" i="12"/>
  <c r="N763" i="12"/>
  <c r="M763" i="12"/>
  <c r="L763" i="12"/>
  <c r="T762" i="12"/>
  <c r="S762" i="12"/>
  <c r="R762" i="12"/>
  <c r="U762" i="12" s="1"/>
  <c r="Q762" i="12"/>
  <c r="N762" i="12"/>
  <c r="N761" i="12" s="1"/>
  <c r="M762" i="12"/>
  <c r="M761" i="12" s="1"/>
  <c r="P761" i="12" s="1"/>
  <c r="L762" i="12"/>
  <c r="O762" i="12" s="1"/>
  <c r="L761" i="12"/>
  <c r="O761" i="12" s="1"/>
  <c r="J760" i="12"/>
  <c r="J759" i="12"/>
  <c r="I756" i="12"/>
  <c r="K756" i="12" s="1"/>
  <c r="I753" i="12"/>
  <c r="K753" i="12" s="1"/>
  <c r="I750" i="12"/>
  <c r="K750" i="12" s="1"/>
  <c r="I747" i="12"/>
  <c r="K747" i="12" s="1"/>
  <c r="I745" i="12"/>
  <c r="K745" i="12" s="1"/>
  <c r="I743" i="12"/>
  <c r="K743" i="12" s="1"/>
  <c r="I741" i="12"/>
  <c r="K741" i="12" s="1"/>
  <c r="U737" i="12"/>
  <c r="T737" i="12"/>
  <c r="P737" i="12"/>
  <c r="O737" i="12"/>
  <c r="U736" i="12"/>
  <c r="T736" i="12"/>
  <c r="P736" i="12"/>
  <c r="O736" i="12"/>
  <c r="T735" i="12"/>
  <c r="S735" i="12"/>
  <c r="R735" i="12"/>
  <c r="U735" i="12" s="1"/>
  <c r="Q735" i="12"/>
  <c r="N735" i="12"/>
  <c r="M735" i="12"/>
  <c r="P735" i="12" s="1"/>
  <c r="L735" i="12"/>
  <c r="O735" i="12" s="1"/>
  <c r="S734" i="12"/>
  <c r="S732" i="12" s="1"/>
  <c r="R734" i="12"/>
  <c r="R732" i="12" s="1"/>
  <c r="Q734" i="12"/>
  <c r="Q732" i="12" s="1"/>
  <c r="P734" i="12"/>
  <c r="O734" i="12"/>
  <c r="U733" i="12"/>
  <c r="T733" i="12"/>
  <c r="P733" i="12"/>
  <c r="O733" i="12"/>
  <c r="P732" i="12"/>
  <c r="O732" i="12"/>
  <c r="N732" i="12"/>
  <c r="M732" i="12"/>
  <c r="L732" i="12"/>
  <c r="O731" i="12"/>
  <c r="N731" i="12"/>
  <c r="N729" i="12" s="1"/>
  <c r="M731" i="12"/>
  <c r="P731" i="12" s="1"/>
  <c r="L731" i="12"/>
  <c r="S730" i="12"/>
  <c r="R730" i="12"/>
  <c r="Q730" i="12"/>
  <c r="T730" i="12" s="1"/>
  <c r="N730" i="12"/>
  <c r="M730" i="12"/>
  <c r="P730" i="12" s="1"/>
  <c r="L730" i="12"/>
  <c r="L729" i="12" s="1"/>
  <c r="O729" i="12" s="1"/>
  <c r="J728" i="12"/>
  <c r="I728" i="12"/>
  <c r="K728" i="12" s="1"/>
  <c r="J727" i="12"/>
  <c r="I727" i="12"/>
  <c r="K727" i="12" s="1"/>
  <c r="U723" i="12"/>
  <c r="T723" i="12"/>
  <c r="P723" i="12"/>
  <c r="O723" i="12"/>
  <c r="U722" i="12"/>
  <c r="T722" i="12"/>
  <c r="P722" i="12"/>
  <c r="O722" i="12"/>
  <c r="U721" i="12"/>
  <c r="S721" i="12"/>
  <c r="R721" i="12"/>
  <c r="Q721" i="12"/>
  <c r="T721" i="12" s="1"/>
  <c r="P721" i="12"/>
  <c r="O721" i="12"/>
  <c r="N721" i="12"/>
  <c r="M721" i="12"/>
  <c r="L721" i="12"/>
  <c r="U720" i="12"/>
  <c r="T720" i="12"/>
  <c r="P720" i="12"/>
  <c r="O720" i="12"/>
  <c r="U719" i="12"/>
  <c r="T719" i="12"/>
  <c r="P719" i="12"/>
  <c r="O719" i="12"/>
  <c r="U718" i="12"/>
  <c r="S718" i="12"/>
  <c r="R718" i="12"/>
  <c r="Q718" i="12"/>
  <c r="T718" i="12" s="1"/>
  <c r="P718" i="12"/>
  <c r="O718" i="12"/>
  <c r="N718" i="12"/>
  <c r="M718" i="12"/>
  <c r="L718" i="12"/>
  <c r="U717" i="12"/>
  <c r="T717" i="12"/>
  <c r="S717" i="12"/>
  <c r="R717" i="12"/>
  <c r="Q717" i="12"/>
  <c r="O717" i="12"/>
  <c r="N717" i="12"/>
  <c r="N715" i="12" s="1"/>
  <c r="M717" i="12"/>
  <c r="P717" i="12" s="1"/>
  <c r="L717" i="12"/>
  <c r="S716" i="12"/>
  <c r="S715" i="12" s="1"/>
  <c r="R716" i="12"/>
  <c r="R715" i="12" s="1"/>
  <c r="U715" i="12" s="1"/>
  <c r="Q716" i="12"/>
  <c r="T716" i="12" s="1"/>
  <c r="N716" i="12"/>
  <c r="M716" i="12"/>
  <c r="P716" i="12" s="1"/>
  <c r="L716" i="12"/>
  <c r="L715" i="12" s="1"/>
  <c r="O715" i="12" s="1"/>
  <c r="Q715" i="12"/>
  <c r="T715" i="12" s="1"/>
  <c r="K713" i="12"/>
  <c r="J713" i="12"/>
  <c r="K711" i="12"/>
  <c r="J711" i="12"/>
  <c r="J710" i="12"/>
  <c r="I710" i="12"/>
  <c r="K709" i="12"/>
  <c r="J709" i="12"/>
  <c r="J708" i="12"/>
  <c r="J690" i="12" s="1"/>
  <c r="I708" i="12"/>
  <c r="K707" i="12"/>
  <c r="J707" i="12"/>
  <c r="J706" i="12"/>
  <c r="I706" i="12"/>
  <c r="K705" i="12"/>
  <c r="J705" i="12"/>
  <c r="J704" i="12"/>
  <c r="I704" i="12"/>
  <c r="K703" i="12"/>
  <c r="I701" i="12"/>
  <c r="K701" i="12" s="1"/>
  <c r="U699" i="12"/>
  <c r="T699" i="12"/>
  <c r="P699" i="12"/>
  <c r="O699" i="12"/>
  <c r="U698" i="12"/>
  <c r="T698" i="12"/>
  <c r="P698" i="12"/>
  <c r="O698" i="12"/>
  <c r="U697" i="12"/>
  <c r="T697" i="12"/>
  <c r="S697" i="12"/>
  <c r="R697" i="12"/>
  <c r="Q697" i="12"/>
  <c r="P697" i="12"/>
  <c r="O697" i="12"/>
  <c r="N697" i="12"/>
  <c r="M697" i="12"/>
  <c r="L697" i="12"/>
  <c r="S696" i="12"/>
  <c r="R696" i="12"/>
  <c r="R694" i="12" s="1"/>
  <c r="Q696" i="12"/>
  <c r="Q693" i="12" s="1"/>
  <c r="Q691" i="12" s="1"/>
  <c r="P696" i="12"/>
  <c r="O696" i="12"/>
  <c r="U695" i="12"/>
  <c r="T695" i="12"/>
  <c r="P695" i="12"/>
  <c r="O695" i="12"/>
  <c r="N694" i="12"/>
  <c r="M694" i="12"/>
  <c r="P694" i="12" s="1"/>
  <c r="L694" i="12"/>
  <c r="O694" i="12" s="1"/>
  <c r="P693" i="12"/>
  <c r="O693" i="12"/>
  <c r="N693" i="12"/>
  <c r="M693" i="12"/>
  <c r="L693" i="12"/>
  <c r="U692" i="12"/>
  <c r="T692" i="12"/>
  <c r="S692" i="12"/>
  <c r="R692" i="12"/>
  <c r="Q692" i="12"/>
  <c r="O692" i="12"/>
  <c r="N692" i="12"/>
  <c r="N691" i="12" s="1"/>
  <c r="M692" i="12"/>
  <c r="P692" i="12" s="1"/>
  <c r="L692" i="12"/>
  <c r="M691" i="12"/>
  <c r="P691" i="12" s="1"/>
  <c r="L691" i="12"/>
  <c r="O691" i="12" s="1"/>
  <c r="J683" i="12"/>
  <c r="I683" i="12"/>
  <c r="K683" i="12" s="1"/>
  <c r="J682" i="12"/>
  <c r="I682" i="12"/>
  <c r="K682" i="12" s="1"/>
  <c r="J681" i="12"/>
  <c r="J680" i="12"/>
  <c r="I680" i="12"/>
  <c r="K680" i="12" s="1"/>
  <c r="J679" i="12"/>
  <c r="I679" i="12"/>
  <c r="K679" i="12" s="1"/>
  <c r="J678" i="12"/>
  <c r="J677" i="12"/>
  <c r="I677" i="12"/>
  <c r="K677" i="12" s="1"/>
  <c r="I676" i="12"/>
  <c r="K676" i="12" s="1"/>
  <c r="I675" i="12"/>
  <c r="K675" i="12" s="1"/>
  <c r="J674" i="12"/>
  <c r="I674" i="12"/>
  <c r="K674" i="12" s="1"/>
  <c r="J673" i="12"/>
  <c r="J672" i="12"/>
  <c r="J662" i="12"/>
  <c r="I662" i="12"/>
  <c r="K662" i="12" s="1"/>
  <c r="I661" i="12"/>
  <c r="I658" i="12"/>
  <c r="J655" i="12"/>
  <c r="I655" i="12"/>
  <c r="K655" i="12" s="1"/>
  <c r="J654" i="12"/>
  <c r="I654" i="12"/>
  <c r="K654" i="12" s="1"/>
  <c r="J653" i="12"/>
  <c r="I653" i="12"/>
  <c r="K653" i="12" s="1"/>
  <c r="U651" i="12"/>
  <c r="T651" i="12"/>
  <c r="P651" i="12"/>
  <c r="O651" i="12"/>
  <c r="U650" i="12"/>
  <c r="T650" i="12"/>
  <c r="P650" i="12"/>
  <c r="O650" i="12"/>
  <c r="U649" i="12"/>
  <c r="T649" i="12"/>
  <c r="S649" i="12"/>
  <c r="R649" i="12"/>
  <c r="Q649" i="12"/>
  <c r="P649" i="12"/>
  <c r="O649" i="12"/>
  <c r="N649" i="12"/>
  <c r="M649" i="12"/>
  <c r="L649" i="12"/>
  <c r="S648" i="12"/>
  <c r="S645" i="12" s="1"/>
  <c r="R648" i="12"/>
  <c r="Q648" i="12"/>
  <c r="T648" i="12" s="1"/>
  <c r="P648" i="12"/>
  <c r="O648" i="12"/>
  <c r="U647" i="12"/>
  <c r="T647" i="12"/>
  <c r="P647" i="12"/>
  <c r="O647" i="12"/>
  <c r="N646" i="12"/>
  <c r="M646" i="12"/>
  <c r="P646" i="12" s="1"/>
  <c r="L646" i="12"/>
  <c r="O646" i="12" s="1"/>
  <c r="P645" i="12"/>
  <c r="O645" i="12"/>
  <c r="N645" i="12"/>
  <c r="M645" i="12"/>
  <c r="L645" i="12"/>
  <c r="U644" i="12"/>
  <c r="T644" i="12"/>
  <c r="S644" i="12"/>
  <c r="R644" i="12"/>
  <c r="Q644" i="12"/>
  <c r="N644" i="12"/>
  <c r="N643" i="12" s="1"/>
  <c r="M644" i="12"/>
  <c r="P644" i="12" s="1"/>
  <c r="L644" i="12"/>
  <c r="O644" i="12" s="1"/>
  <c r="M643" i="12"/>
  <c r="P643" i="12" s="1"/>
  <c r="L643" i="12"/>
  <c r="O643" i="12" s="1"/>
  <c r="J637" i="12"/>
  <c r="J636" i="12" s="1"/>
  <c r="I636" i="12"/>
  <c r="K636" i="12" s="1"/>
  <c r="J633" i="12"/>
  <c r="J627" i="12" s="1"/>
  <c r="J616" i="12" s="1"/>
  <c r="I629" i="12"/>
  <c r="K629" i="12" s="1"/>
  <c r="I628" i="12"/>
  <c r="K628" i="12" s="1"/>
  <c r="I627" i="12"/>
  <c r="U625" i="12"/>
  <c r="T625" i="12"/>
  <c r="P625" i="12"/>
  <c r="O625" i="12"/>
  <c r="U624" i="12"/>
  <c r="T624" i="12"/>
  <c r="P624" i="12"/>
  <c r="O624" i="12"/>
  <c r="U623" i="12"/>
  <c r="T623" i="12"/>
  <c r="S623" i="12"/>
  <c r="R623" i="12"/>
  <c r="Q623" i="12"/>
  <c r="P623" i="12"/>
  <c r="O623" i="12"/>
  <c r="N623" i="12"/>
  <c r="M623" i="12"/>
  <c r="L623" i="12"/>
  <c r="S622" i="12"/>
  <c r="S619" i="12" s="1"/>
  <c r="R622" i="12"/>
  <c r="R620" i="12" s="1"/>
  <c r="Q622" i="12"/>
  <c r="Q619" i="12" s="1"/>
  <c r="P622" i="12"/>
  <c r="O622" i="12"/>
  <c r="U621" i="12"/>
  <c r="T621" i="12"/>
  <c r="P621" i="12"/>
  <c r="O621" i="12"/>
  <c r="N620" i="12"/>
  <c r="M620" i="12"/>
  <c r="P620" i="12" s="1"/>
  <c r="L620" i="12"/>
  <c r="O620" i="12" s="1"/>
  <c r="P619" i="12"/>
  <c r="O619" i="12"/>
  <c r="N619" i="12"/>
  <c r="M619" i="12"/>
  <c r="L619" i="12"/>
  <c r="U618" i="12"/>
  <c r="T618" i="12"/>
  <c r="S618" i="12"/>
  <c r="R618" i="12"/>
  <c r="Q618" i="12"/>
  <c r="O618" i="12"/>
  <c r="N618" i="12"/>
  <c r="N617" i="12" s="1"/>
  <c r="M618" i="12"/>
  <c r="P618" i="12" s="1"/>
  <c r="L618" i="12"/>
  <c r="O617" i="12"/>
  <c r="L617" i="12"/>
  <c r="U608" i="12"/>
  <c r="T608" i="12"/>
  <c r="P608" i="12"/>
  <c r="O608" i="12"/>
  <c r="U607" i="12"/>
  <c r="T607" i="12"/>
  <c r="P607" i="12"/>
  <c r="O607" i="12"/>
  <c r="S606" i="12"/>
  <c r="R606" i="12"/>
  <c r="U606" i="12" s="1"/>
  <c r="Q606" i="12"/>
  <c r="T606" i="12" s="1"/>
  <c r="P606" i="12"/>
  <c r="N606" i="12"/>
  <c r="M606" i="12"/>
  <c r="L606" i="12"/>
  <c r="O606" i="12" s="1"/>
  <c r="U605" i="12"/>
  <c r="T605" i="12"/>
  <c r="P605" i="12"/>
  <c r="O605" i="12"/>
  <c r="U604" i="12"/>
  <c r="T604" i="12"/>
  <c r="P604" i="12"/>
  <c r="O604" i="12"/>
  <c r="S603" i="12"/>
  <c r="R603" i="12"/>
  <c r="U603" i="12" s="1"/>
  <c r="Q603" i="12"/>
  <c r="T603" i="12" s="1"/>
  <c r="P603" i="12"/>
  <c r="N603" i="12"/>
  <c r="M603" i="12"/>
  <c r="L603" i="12"/>
  <c r="O603" i="12" s="1"/>
  <c r="U602" i="12"/>
  <c r="T602" i="12"/>
  <c r="S602" i="12"/>
  <c r="R602" i="12"/>
  <c r="Q602" i="12"/>
  <c r="P602" i="12"/>
  <c r="O602" i="12"/>
  <c r="N602" i="12"/>
  <c r="M602" i="12"/>
  <c r="L602" i="12"/>
  <c r="T601" i="12"/>
  <c r="S601" i="12"/>
  <c r="S600" i="12" s="1"/>
  <c r="R601" i="12"/>
  <c r="U601" i="12" s="1"/>
  <c r="Q601" i="12"/>
  <c r="N601" i="12"/>
  <c r="M601" i="12"/>
  <c r="M600" i="12" s="1"/>
  <c r="L601" i="12"/>
  <c r="O601" i="12" s="1"/>
  <c r="Q600" i="12"/>
  <c r="T600" i="12" s="1"/>
  <c r="P600" i="12"/>
  <c r="N600" i="12"/>
  <c r="U585" i="12"/>
  <c r="T585" i="12"/>
  <c r="P585" i="12"/>
  <c r="O585" i="12"/>
  <c r="U584" i="12"/>
  <c r="T584" i="12"/>
  <c r="P584" i="12"/>
  <c r="O584" i="12"/>
  <c r="U583" i="12"/>
  <c r="T583" i="12"/>
  <c r="S583" i="12"/>
  <c r="R583" i="12"/>
  <c r="Q583" i="12"/>
  <c r="P583" i="12"/>
  <c r="O583" i="12"/>
  <c r="N583" i="12"/>
  <c r="M583" i="12"/>
  <c r="L583" i="12"/>
  <c r="U582" i="12"/>
  <c r="T582" i="12"/>
  <c r="P582" i="12"/>
  <c r="O582" i="12"/>
  <c r="U581" i="12"/>
  <c r="T581" i="12"/>
  <c r="P581" i="12"/>
  <c r="O581" i="12"/>
  <c r="U580" i="12"/>
  <c r="T580" i="12"/>
  <c r="S580" i="12"/>
  <c r="R580" i="12"/>
  <c r="Q580" i="12"/>
  <c r="P580" i="12"/>
  <c r="O580" i="12"/>
  <c r="N580" i="12"/>
  <c r="M580" i="12"/>
  <c r="L580" i="12"/>
  <c r="T579" i="12"/>
  <c r="S579" i="12"/>
  <c r="R579" i="12"/>
  <c r="U579" i="12" s="1"/>
  <c r="Q579" i="12"/>
  <c r="N579" i="12"/>
  <c r="M579" i="12"/>
  <c r="P579" i="12" s="1"/>
  <c r="L579" i="12"/>
  <c r="O579" i="12" s="1"/>
  <c r="T578" i="12"/>
  <c r="S578" i="12"/>
  <c r="R578" i="12"/>
  <c r="U578" i="12" s="1"/>
  <c r="Q578" i="12"/>
  <c r="N578" i="12"/>
  <c r="N577" i="12" s="1"/>
  <c r="M578" i="12"/>
  <c r="M577" i="12" s="1"/>
  <c r="L578" i="12"/>
  <c r="O578" i="12" s="1"/>
  <c r="Q577" i="12"/>
  <c r="T577" i="12" s="1"/>
  <c r="P577" i="12"/>
  <c r="J576" i="12"/>
  <c r="I576" i="12"/>
  <c r="K576" i="12" s="1"/>
  <c r="U564" i="12"/>
  <c r="T564" i="12"/>
  <c r="P564" i="12"/>
  <c r="O564" i="12"/>
  <c r="U563" i="12"/>
  <c r="T563" i="12"/>
  <c r="P563" i="12"/>
  <c r="O563" i="12"/>
  <c r="T562" i="12"/>
  <c r="S562" i="12"/>
  <c r="R562" i="12"/>
  <c r="U562" i="12" s="1"/>
  <c r="Q562" i="12"/>
  <c r="N562" i="12"/>
  <c r="M562" i="12"/>
  <c r="P562" i="12" s="1"/>
  <c r="L562" i="12"/>
  <c r="O562" i="12" s="1"/>
  <c r="U561" i="12"/>
  <c r="T561" i="12"/>
  <c r="P561" i="12"/>
  <c r="O561" i="12"/>
  <c r="U560" i="12"/>
  <c r="T560" i="12"/>
  <c r="P560" i="12"/>
  <c r="O560" i="12"/>
  <c r="S559" i="12"/>
  <c r="R559" i="12"/>
  <c r="U559" i="12" s="1"/>
  <c r="Q559" i="12"/>
  <c r="T559" i="12" s="1"/>
  <c r="N559" i="12"/>
  <c r="M559" i="12"/>
  <c r="P559" i="12" s="1"/>
  <c r="L559" i="12"/>
  <c r="O559" i="12" s="1"/>
  <c r="U558" i="12"/>
  <c r="S558" i="12"/>
  <c r="R558" i="12"/>
  <c r="Q558" i="12"/>
  <c r="T558" i="12" s="1"/>
  <c r="O558" i="12"/>
  <c r="N558" i="12"/>
  <c r="M558" i="12"/>
  <c r="P558" i="12" s="1"/>
  <c r="L558" i="12"/>
  <c r="U557" i="12"/>
  <c r="S557" i="12"/>
  <c r="S556" i="12" s="1"/>
  <c r="R557" i="12"/>
  <c r="Q557" i="12"/>
  <c r="T557" i="12" s="1"/>
  <c r="O557" i="12"/>
  <c r="N557" i="12"/>
  <c r="M557" i="12"/>
  <c r="P557" i="12" s="1"/>
  <c r="L557" i="12"/>
  <c r="U556" i="12"/>
  <c r="R556" i="12"/>
  <c r="O556" i="12"/>
  <c r="N556" i="12"/>
  <c r="L556" i="12"/>
  <c r="J555" i="12"/>
  <c r="I555" i="12"/>
  <c r="K555" i="12" s="1"/>
  <c r="U543" i="12"/>
  <c r="T543" i="12"/>
  <c r="P543" i="12"/>
  <c r="O543" i="12"/>
  <c r="U542" i="12"/>
  <c r="T542" i="12"/>
  <c r="P542" i="12"/>
  <c r="O542" i="12"/>
  <c r="S541" i="12"/>
  <c r="R541" i="12"/>
  <c r="U541" i="12" s="1"/>
  <c r="Q541" i="12"/>
  <c r="T541" i="12" s="1"/>
  <c r="P541" i="12"/>
  <c r="N541" i="12"/>
  <c r="M541" i="12"/>
  <c r="L541" i="12"/>
  <c r="O541" i="12" s="1"/>
  <c r="U540" i="12"/>
  <c r="T540" i="12"/>
  <c r="P540" i="12"/>
  <c r="O540" i="12"/>
  <c r="U539" i="12"/>
  <c r="T539" i="12"/>
  <c r="P539" i="12"/>
  <c r="O539" i="12"/>
  <c r="S538" i="12"/>
  <c r="R538" i="12"/>
  <c r="U538" i="12" s="1"/>
  <c r="Q538" i="12"/>
  <c r="T538" i="12" s="1"/>
  <c r="P538" i="12"/>
  <c r="N538" i="12"/>
  <c r="M538" i="12"/>
  <c r="L538" i="12"/>
  <c r="O538" i="12" s="1"/>
  <c r="U537" i="12"/>
  <c r="T537" i="12"/>
  <c r="S537" i="12"/>
  <c r="R537" i="12"/>
  <c r="Q537" i="12"/>
  <c r="P537" i="12"/>
  <c r="O537" i="12"/>
  <c r="N537" i="12"/>
  <c r="M537" i="12"/>
  <c r="L537" i="12"/>
  <c r="T536" i="12"/>
  <c r="S536" i="12"/>
  <c r="S535" i="12" s="1"/>
  <c r="R536" i="12"/>
  <c r="U536" i="12" s="1"/>
  <c r="Q536" i="12"/>
  <c r="N536" i="12"/>
  <c r="M536" i="12"/>
  <c r="M535" i="12" s="1"/>
  <c r="L536" i="12"/>
  <c r="O536" i="12" s="1"/>
  <c r="Q535" i="12"/>
  <c r="T535" i="12" s="1"/>
  <c r="P535" i="12"/>
  <c r="N535" i="12"/>
  <c r="J534" i="12"/>
  <c r="I534" i="12"/>
  <c r="K534" i="12" s="1"/>
  <c r="K525" i="12"/>
  <c r="K524" i="12"/>
  <c r="U522" i="12"/>
  <c r="T522" i="12"/>
  <c r="N522" i="12"/>
  <c r="N520" i="12" s="1"/>
  <c r="M522" i="12"/>
  <c r="P522" i="12" s="1"/>
  <c r="L522" i="12"/>
  <c r="O522" i="12" s="1"/>
  <c r="U521" i="12"/>
  <c r="T521" i="12"/>
  <c r="P521" i="12"/>
  <c r="O521" i="12"/>
  <c r="T520" i="12"/>
  <c r="S520" i="12"/>
  <c r="R520" i="12"/>
  <c r="U520" i="12" s="1"/>
  <c r="Q520" i="12"/>
  <c r="U519" i="12"/>
  <c r="T519" i="12"/>
  <c r="N519" i="12"/>
  <c r="M519" i="12"/>
  <c r="P519" i="12" s="1"/>
  <c r="L519" i="12"/>
  <c r="L517" i="12" s="1"/>
  <c r="O517" i="12" s="1"/>
  <c r="U518" i="12"/>
  <c r="T518" i="12"/>
  <c r="P518" i="12"/>
  <c r="O518" i="12"/>
  <c r="U517" i="12"/>
  <c r="S517" i="12"/>
  <c r="R517" i="12"/>
  <c r="Q517" i="12"/>
  <c r="T517" i="12" s="1"/>
  <c r="T516" i="12"/>
  <c r="S516" i="12"/>
  <c r="R516" i="12"/>
  <c r="U516" i="12" s="1"/>
  <c r="Q516" i="12"/>
  <c r="U515" i="12"/>
  <c r="S515" i="12"/>
  <c r="R515" i="12"/>
  <c r="Q515" i="12"/>
  <c r="T515" i="12" s="1"/>
  <c r="P515" i="12"/>
  <c r="O515" i="12"/>
  <c r="N515" i="12"/>
  <c r="M515" i="12"/>
  <c r="L515" i="12"/>
  <c r="S514" i="12"/>
  <c r="Q514" i="12"/>
  <c r="T514" i="12" s="1"/>
  <c r="K513" i="12"/>
  <c r="J513" i="12"/>
  <c r="I513" i="12"/>
  <c r="I510" i="12"/>
  <c r="K510" i="12" s="1"/>
  <c r="K509" i="12"/>
  <c r="I508" i="12"/>
  <c r="K508" i="12" s="1"/>
  <c r="I507" i="12"/>
  <c r="K507" i="12" s="1"/>
  <c r="I506" i="12"/>
  <c r="K506" i="12" s="1"/>
  <c r="I505" i="12"/>
  <c r="K505" i="12" s="1"/>
  <c r="I504" i="12"/>
  <c r="U502" i="12"/>
  <c r="T502" i="12"/>
  <c r="P502" i="12"/>
  <c r="O502" i="12"/>
  <c r="U501" i="12"/>
  <c r="T501" i="12"/>
  <c r="P501" i="12"/>
  <c r="O501" i="12"/>
  <c r="U500" i="12"/>
  <c r="T500" i="12"/>
  <c r="S500" i="12"/>
  <c r="R500" i="12"/>
  <c r="Q500" i="12"/>
  <c r="P500" i="12"/>
  <c r="O500" i="12"/>
  <c r="N500" i="12"/>
  <c r="M500" i="12"/>
  <c r="L500" i="12"/>
  <c r="S499" i="12"/>
  <c r="S497" i="12" s="1"/>
  <c r="R499" i="12"/>
  <c r="Q499" i="12"/>
  <c r="T499" i="12" s="1"/>
  <c r="P499" i="12"/>
  <c r="O499" i="12"/>
  <c r="U498" i="12"/>
  <c r="T498" i="12"/>
  <c r="P498" i="12"/>
  <c r="O498" i="12"/>
  <c r="P497" i="12"/>
  <c r="N497" i="12"/>
  <c r="M497" i="12"/>
  <c r="L497" i="12"/>
  <c r="O497" i="12" s="1"/>
  <c r="O496" i="12"/>
  <c r="N496" i="12"/>
  <c r="M496" i="12"/>
  <c r="P496" i="12" s="1"/>
  <c r="L496" i="12"/>
  <c r="S495" i="12"/>
  <c r="R495" i="12"/>
  <c r="U495" i="12" s="1"/>
  <c r="Q495" i="12"/>
  <c r="N495" i="12"/>
  <c r="M495" i="12"/>
  <c r="P495" i="12" s="1"/>
  <c r="L495" i="12"/>
  <c r="O495" i="12" s="1"/>
  <c r="M494" i="12"/>
  <c r="P494" i="12" s="1"/>
  <c r="L494" i="12"/>
  <c r="O494" i="12" s="1"/>
  <c r="J486" i="12"/>
  <c r="I486" i="12"/>
  <c r="K486" i="12" s="1"/>
  <c r="K485" i="12"/>
  <c r="J485" i="12"/>
  <c r="I485" i="12"/>
  <c r="J484" i="12"/>
  <c r="J483" i="12"/>
  <c r="K478" i="12"/>
  <c r="J478" i="12"/>
  <c r="K477" i="12"/>
  <c r="J477" i="12"/>
  <c r="K476" i="12"/>
  <c r="J476" i="12"/>
  <c r="J469" i="12"/>
  <c r="J459" i="12" s="1"/>
  <c r="J468" i="12"/>
  <c r="J461" i="12"/>
  <c r="J460" i="12"/>
  <c r="I459" i="12"/>
  <c r="K459" i="12" s="1"/>
  <c r="J458" i="12"/>
  <c r="J457" i="12" s="1"/>
  <c r="I458" i="12"/>
  <c r="K458" i="12" s="1"/>
  <c r="J448" i="12"/>
  <c r="J442" i="12" s="1"/>
  <c r="J447" i="12"/>
  <c r="J441" i="12" s="1"/>
  <c r="J424" i="12" s="1"/>
  <c r="J413" i="12" s="1"/>
  <c r="I442" i="12"/>
  <c r="K442" i="12" s="1"/>
  <c r="I441" i="12"/>
  <c r="J434" i="12"/>
  <c r="I434" i="12"/>
  <c r="K434" i="12" s="1"/>
  <c r="J433" i="12"/>
  <c r="I433" i="12"/>
  <c r="K433" i="12" s="1"/>
  <c r="J426" i="12"/>
  <c r="I426" i="12"/>
  <c r="K426" i="12" s="1"/>
  <c r="J425" i="12"/>
  <c r="I425" i="12"/>
  <c r="K425" i="12" s="1"/>
  <c r="U422" i="12"/>
  <c r="T422" i="12"/>
  <c r="P422" i="12"/>
  <c r="O422" i="12"/>
  <c r="U421" i="12"/>
  <c r="T421" i="12"/>
  <c r="P421" i="12"/>
  <c r="O421" i="12"/>
  <c r="T420" i="12"/>
  <c r="S420" i="12"/>
  <c r="R420" i="12"/>
  <c r="U420" i="12" s="1"/>
  <c r="Q420" i="12"/>
  <c r="P420" i="12"/>
  <c r="N420" i="12"/>
  <c r="M420" i="12"/>
  <c r="L420" i="12"/>
  <c r="O420" i="12" s="1"/>
  <c r="S419" i="12"/>
  <c r="S417" i="12" s="1"/>
  <c r="R419" i="12"/>
  <c r="R417" i="12" s="1"/>
  <c r="U417" i="12" s="1"/>
  <c r="Q419" i="12"/>
  <c r="P419" i="12"/>
  <c r="O419" i="12"/>
  <c r="U418" i="12"/>
  <c r="T418" i="12"/>
  <c r="P418" i="12"/>
  <c r="O418" i="12"/>
  <c r="O417" i="12"/>
  <c r="N417" i="12"/>
  <c r="M417" i="12"/>
  <c r="P417" i="12" s="1"/>
  <c r="L417" i="12"/>
  <c r="N416" i="12"/>
  <c r="M416" i="12"/>
  <c r="P416" i="12" s="1"/>
  <c r="L416" i="12"/>
  <c r="O416" i="12" s="1"/>
  <c r="U415" i="12"/>
  <c r="S415" i="12"/>
  <c r="R415" i="12"/>
  <c r="Q415" i="12"/>
  <c r="P415" i="12"/>
  <c r="O415" i="12"/>
  <c r="N415" i="12"/>
  <c r="M415" i="12"/>
  <c r="L415" i="12"/>
  <c r="N414" i="12"/>
  <c r="M414" i="12"/>
  <c r="P414" i="12" s="1"/>
  <c r="U401" i="12"/>
  <c r="T401" i="12"/>
  <c r="P401" i="12"/>
  <c r="O401" i="12"/>
  <c r="U400" i="12"/>
  <c r="T400" i="12"/>
  <c r="P400" i="12"/>
  <c r="O400" i="12"/>
  <c r="U399" i="12"/>
  <c r="T399" i="12"/>
  <c r="S399" i="12"/>
  <c r="R399" i="12"/>
  <c r="Q399" i="12"/>
  <c r="P399" i="12"/>
  <c r="O399" i="12"/>
  <c r="N399" i="12"/>
  <c r="M399" i="12"/>
  <c r="L399" i="12"/>
  <c r="U398" i="12"/>
  <c r="T398" i="12"/>
  <c r="P398" i="12"/>
  <c r="O398" i="12"/>
  <c r="U397" i="12"/>
  <c r="T397" i="12"/>
  <c r="P397" i="12"/>
  <c r="O397" i="12"/>
  <c r="U396" i="12"/>
  <c r="T396" i="12"/>
  <c r="S396" i="12"/>
  <c r="R396" i="12"/>
  <c r="Q396" i="12"/>
  <c r="P396" i="12"/>
  <c r="O396" i="12"/>
  <c r="N396" i="12"/>
  <c r="M396" i="12"/>
  <c r="L396" i="12"/>
  <c r="T395" i="12"/>
  <c r="S395" i="12"/>
  <c r="S393" i="12" s="1"/>
  <c r="R395" i="12"/>
  <c r="U395" i="12" s="1"/>
  <c r="Q395" i="12"/>
  <c r="N395" i="12"/>
  <c r="M395" i="12"/>
  <c r="P395" i="12" s="1"/>
  <c r="L395" i="12"/>
  <c r="O395" i="12" s="1"/>
  <c r="S394" i="12"/>
  <c r="R394" i="12"/>
  <c r="U394" i="12" s="1"/>
  <c r="Q394" i="12"/>
  <c r="Q393" i="12" s="1"/>
  <c r="T393" i="12" s="1"/>
  <c r="P394" i="12"/>
  <c r="O394" i="12"/>
  <c r="N394" i="12"/>
  <c r="M394" i="12"/>
  <c r="L394" i="12"/>
  <c r="L393" i="12" s="1"/>
  <c r="O393" i="12" s="1"/>
  <c r="N393" i="12"/>
  <c r="J392" i="12"/>
  <c r="I392" i="12"/>
  <c r="K392" i="12" s="1"/>
  <c r="J389" i="12"/>
  <c r="I389" i="12"/>
  <c r="K389" i="12" s="1"/>
  <c r="K388" i="12"/>
  <c r="J388" i="12"/>
  <c r="J387" i="12"/>
  <c r="I387" i="12"/>
  <c r="K386" i="12"/>
  <c r="J386" i="12"/>
  <c r="U384" i="12"/>
  <c r="T384" i="12"/>
  <c r="P384" i="12"/>
  <c r="O384" i="12"/>
  <c r="U383" i="12"/>
  <c r="T383" i="12"/>
  <c r="P383" i="12"/>
  <c r="O383" i="12"/>
  <c r="U382" i="12"/>
  <c r="T382" i="12"/>
  <c r="S382" i="12"/>
  <c r="R382" i="12"/>
  <c r="Q382" i="12"/>
  <c r="P382" i="12"/>
  <c r="O382" i="12"/>
  <c r="N382" i="12"/>
  <c r="M382" i="12"/>
  <c r="L382" i="12"/>
  <c r="S381" i="12"/>
  <c r="S378" i="12" s="1"/>
  <c r="R381" i="12"/>
  <c r="Q381" i="12"/>
  <c r="Q379" i="12" s="1"/>
  <c r="P381" i="12"/>
  <c r="O381" i="12"/>
  <c r="U380" i="12"/>
  <c r="T380" i="12"/>
  <c r="P380" i="12"/>
  <c r="O380" i="12"/>
  <c r="N379" i="12"/>
  <c r="M379" i="12"/>
  <c r="P379" i="12" s="1"/>
  <c r="L379" i="12"/>
  <c r="O379" i="12" s="1"/>
  <c r="P378" i="12"/>
  <c r="O378" i="12"/>
  <c r="N378" i="12"/>
  <c r="M378" i="12"/>
  <c r="L378" i="12"/>
  <c r="U377" i="12"/>
  <c r="T377" i="12"/>
  <c r="S377" i="12"/>
  <c r="R377" i="12"/>
  <c r="Q377" i="12"/>
  <c r="O377" i="12"/>
  <c r="N377" i="12"/>
  <c r="N376" i="12" s="1"/>
  <c r="M377" i="12"/>
  <c r="P377" i="12" s="1"/>
  <c r="L377" i="12"/>
  <c r="L376" i="12"/>
  <c r="O376" i="12" s="1"/>
  <c r="D374" i="12"/>
  <c r="K373" i="12"/>
  <c r="J373" i="12"/>
  <c r="J372" i="12"/>
  <c r="J366" i="12" s="1"/>
  <c r="I372" i="12"/>
  <c r="K371" i="12"/>
  <c r="J371" i="12"/>
  <c r="J370" i="12"/>
  <c r="I370" i="12"/>
  <c r="J369" i="12"/>
  <c r="I369" i="12"/>
  <c r="K368" i="12"/>
  <c r="J368" i="12"/>
  <c r="U365" i="12"/>
  <c r="T365" i="12"/>
  <c r="N365" i="12"/>
  <c r="N363" i="12" s="1"/>
  <c r="M365" i="12"/>
  <c r="P365" i="12" s="1"/>
  <c r="L365" i="12"/>
  <c r="U364" i="12"/>
  <c r="T364" i="12"/>
  <c r="P364" i="12"/>
  <c r="O364" i="12"/>
  <c r="T363" i="12"/>
  <c r="S363" i="12"/>
  <c r="R363" i="12"/>
  <c r="U363" i="12" s="1"/>
  <c r="Q363" i="12"/>
  <c r="U362" i="12"/>
  <c r="T362" i="12"/>
  <c r="N362" i="12"/>
  <c r="N360" i="12" s="1"/>
  <c r="M362" i="12"/>
  <c r="M360" i="12" s="1"/>
  <c r="L362" i="12"/>
  <c r="L360" i="12" s="1"/>
  <c r="U361" i="12"/>
  <c r="T361" i="12"/>
  <c r="P361" i="12"/>
  <c r="O361" i="12"/>
  <c r="U360" i="12"/>
  <c r="S360" i="12"/>
  <c r="R360" i="12"/>
  <c r="Q360" i="12"/>
  <c r="T360" i="12" s="1"/>
  <c r="U359" i="12"/>
  <c r="T359" i="12"/>
  <c r="S359" i="12"/>
  <c r="R359" i="12"/>
  <c r="Q359" i="12"/>
  <c r="S358" i="12"/>
  <c r="S357" i="12" s="1"/>
  <c r="R358" i="12"/>
  <c r="U358" i="12" s="1"/>
  <c r="Q358" i="12"/>
  <c r="T358" i="12" s="1"/>
  <c r="N358" i="12"/>
  <c r="M358" i="12"/>
  <c r="L358" i="12"/>
  <c r="O358" i="12" s="1"/>
  <c r="U357" i="12"/>
  <c r="R357" i="12"/>
  <c r="Q357" i="12"/>
  <c r="T357" i="12" s="1"/>
  <c r="D355" i="12"/>
  <c r="J354" i="12"/>
  <c r="J353" i="12"/>
  <c r="D351" i="12"/>
  <c r="J350" i="12"/>
  <c r="J349" i="12"/>
  <c r="J348" i="12"/>
  <c r="J347" i="12"/>
  <c r="I347" i="12"/>
  <c r="J345" i="12"/>
  <c r="I345" i="12"/>
  <c r="U342" i="12"/>
  <c r="T342" i="12"/>
  <c r="N342" i="12"/>
  <c r="M342" i="12"/>
  <c r="M340" i="12" s="1"/>
  <c r="P340" i="12" s="1"/>
  <c r="L342" i="12"/>
  <c r="U341" i="12"/>
  <c r="T341" i="12"/>
  <c r="P341" i="12"/>
  <c r="O341" i="12"/>
  <c r="U340" i="12"/>
  <c r="S340" i="12"/>
  <c r="R340" i="12"/>
  <c r="Q340" i="12"/>
  <c r="T340" i="12" s="1"/>
  <c r="U339" i="12"/>
  <c r="T339" i="12"/>
  <c r="N339" i="12"/>
  <c r="M339" i="12"/>
  <c r="L339" i="12"/>
  <c r="U338" i="12"/>
  <c r="T338" i="12"/>
  <c r="P338" i="12"/>
  <c r="O338" i="12"/>
  <c r="U337" i="12"/>
  <c r="T337" i="12"/>
  <c r="S337" i="12"/>
  <c r="R337" i="12"/>
  <c r="Q337" i="12"/>
  <c r="N337" i="12"/>
  <c r="S336" i="12"/>
  <c r="R336" i="12"/>
  <c r="U336" i="12" s="1"/>
  <c r="Q336" i="12"/>
  <c r="T336" i="12" s="1"/>
  <c r="U335" i="12"/>
  <c r="S335" i="12"/>
  <c r="R335" i="12"/>
  <c r="Q335" i="12"/>
  <c r="Q334" i="12" s="1"/>
  <c r="T334" i="12" s="1"/>
  <c r="P335" i="12"/>
  <c r="O335" i="12"/>
  <c r="N335" i="12"/>
  <c r="M335" i="12"/>
  <c r="L335" i="12"/>
  <c r="U334" i="12"/>
  <c r="S334" i="12"/>
  <c r="R334" i="12"/>
  <c r="I331" i="12"/>
  <c r="I320" i="12" s="1"/>
  <c r="K320" i="12" s="1"/>
  <c r="U329" i="12"/>
  <c r="T329" i="12"/>
  <c r="N329" i="12"/>
  <c r="M329" i="12"/>
  <c r="L329" i="12"/>
  <c r="L327" i="12" s="1"/>
  <c r="O327" i="12" s="1"/>
  <c r="U328" i="12"/>
  <c r="T328" i="12"/>
  <c r="P328" i="12"/>
  <c r="O328" i="12"/>
  <c r="U327" i="12"/>
  <c r="S327" i="12"/>
  <c r="R327" i="12"/>
  <c r="Q327" i="12"/>
  <c r="T327" i="12" s="1"/>
  <c r="U326" i="12"/>
  <c r="T326" i="12"/>
  <c r="N326" i="12"/>
  <c r="N324" i="12" s="1"/>
  <c r="M326" i="12"/>
  <c r="P326" i="12" s="1"/>
  <c r="L326" i="12"/>
  <c r="L324" i="12" s="1"/>
  <c r="O324" i="12" s="1"/>
  <c r="U325" i="12"/>
  <c r="T325" i="12"/>
  <c r="P325" i="12"/>
  <c r="O325" i="12"/>
  <c r="S324" i="12"/>
  <c r="R324" i="12"/>
  <c r="U324" i="12" s="1"/>
  <c r="Q324" i="12"/>
  <c r="T324" i="12" s="1"/>
  <c r="U323" i="12"/>
  <c r="S323" i="12"/>
  <c r="R323" i="12"/>
  <c r="Q323" i="12"/>
  <c r="T323" i="12" s="1"/>
  <c r="U322" i="12"/>
  <c r="T322" i="12"/>
  <c r="S322" i="12"/>
  <c r="R322" i="12"/>
  <c r="Q322" i="12"/>
  <c r="P322" i="12"/>
  <c r="O322" i="12"/>
  <c r="N322" i="12"/>
  <c r="M322" i="12"/>
  <c r="L322" i="12"/>
  <c r="S321" i="12"/>
  <c r="R321" i="12"/>
  <c r="U321" i="12" s="1"/>
  <c r="Q321" i="12"/>
  <c r="T321" i="12" s="1"/>
  <c r="J320" i="12"/>
  <c r="I315" i="12"/>
  <c r="K315" i="12" s="1"/>
  <c r="U312" i="12"/>
  <c r="T312" i="12"/>
  <c r="N312" i="12"/>
  <c r="N310" i="12" s="1"/>
  <c r="M312" i="12"/>
  <c r="P312" i="12" s="1"/>
  <c r="L312" i="12"/>
  <c r="U311" i="12"/>
  <c r="T311" i="12"/>
  <c r="P311" i="12"/>
  <c r="O311" i="12"/>
  <c r="U310" i="12"/>
  <c r="T310" i="12"/>
  <c r="S310" i="12"/>
  <c r="R310" i="12"/>
  <c r="Q310" i="12"/>
  <c r="S309" i="12"/>
  <c r="S307" i="12" s="1"/>
  <c r="R309" i="12"/>
  <c r="R306" i="12" s="1"/>
  <c r="U306" i="12" s="1"/>
  <c r="Q309" i="12"/>
  <c r="Q307" i="12" s="1"/>
  <c r="T307" i="12" s="1"/>
  <c r="N309" i="12"/>
  <c r="M309" i="12"/>
  <c r="P309" i="12" s="1"/>
  <c r="L309" i="12"/>
  <c r="U308" i="12"/>
  <c r="T308" i="12"/>
  <c r="P308" i="12"/>
  <c r="O308" i="12"/>
  <c r="U305" i="12"/>
  <c r="S305" i="12"/>
  <c r="R305" i="12"/>
  <c r="Q305" i="12"/>
  <c r="T305" i="12" s="1"/>
  <c r="N305" i="12"/>
  <c r="M305" i="12"/>
  <c r="P305" i="12" s="1"/>
  <c r="L305" i="12"/>
  <c r="J303" i="12"/>
  <c r="I297" i="12"/>
  <c r="K297" i="12" s="1"/>
  <c r="I296" i="12"/>
  <c r="K296" i="12" s="1"/>
  <c r="J294" i="12"/>
  <c r="I294" i="12"/>
  <c r="I281" i="12" s="1"/>
  <c r="K281" i="12" s="1"/>
  <c r="I293" i="12"/>
  <c r="I282" i="12" s="1"/>
  <c r="K282" i="12" s="1"/>
  <c r="U291" i="12"/>
  <c r="T291" i="12"/>
  <c r="N291" i="12"/>
  <c r="N289" i="12" s="1"/>
  <c r="M291" i="12"/>
  <c r="P291" i="12" s="1"/>
  <c r="L291" i="12"/>
  <c r="O291" i="12" s="1"/>
  <c r="U290" i="12"/>
  <c r="T290" i="12"/>
  <c r="P290" i="12"/>
  <c r="O290" i="12"/>
  <c r="S289" i="12"/>
  <c r="R289" i="12"/>
  <c r="U289" i="12" s="1"/>
  <c r="Q289" i="12"/>
  <c r="T289" i="12" s="1"/>
  <c r="U288" i="12"/>
  <c r="T288" i="12"/>
  <c r="N288" i="12"/>
  <c r="N286" i="12" s="1"/>
  <c r="M288" i="12"/>
  <c r="P288" i="12" s="1"/>
  <c r="L288" i="12"/>
  <c r="L286" i="12" s="1"/>
  <c r="O286" i="12" s="1"/>
  <c r="U287" i="12"/>
  <c r="T287" i="12"/>
  <c r="P287" i="12"/>
  <c r="O287" i="12"/>
  <c r="U286" i="12"/>
  <c r="S286" i="12"/>
  <c r="R286" i="12"/>
  <c r="Q286" i="12"/>
  <c r="T286" i="12" s="1"/>
  <c r="U285" i="12"/>
  <c r="T285" i="12"/>
  <c r="S285" i="12"/>
  <c r="R285" i="12"/>
  <c r="Q285" i="12"/>
  <c r="S284" i="12"/>
  <c r="R284" i="12"/>
  <c r="R283" i="12" s="1"/>
  <c r="Q284" i="12"/>
  <c r="T284" i="12" s="1"/>
  <c r="P284" i="12"/>
  <c r="O284" i="12"/>
  <c r="N284" i="12"/>
  <c r="M284" i="12"/>
  <c r="L284" i="12"/>
  <c r="U283" i="12"/>
  <c r="S283" i="12"/>
  <c r="J282" i="12"/>
  <c r="J281" i="12"/>
  <c r="I277" i="12"/>
  <c r="K277" i="12" s="1"/>
  <c r="U275" i="12"/>
  <c r="T275" i="12"/>
  <c r="N275" i="12"/>
  <c r="N273" i="12" s="1"/>
  <c r="M275" i="12"/>
  <c r="P275" i="12" s="1"/>
  <c r="L275" i="12"/>
  <c r="O275" i="12" s="1"/>
  <c r="U274" i="12"/>
  <c r="T274" i="12"/>
  <c r="P274" i="12"/>
  <c r="O274" i="12"/>
  <c r="U273" i="12"/>
  <c r="T273" i="12"/>
  <c r="S273" i="12"/>
  <c r="R273" i="12"/>
  <c r="Q273" i="12"/>
  <c r="S272" i="12"/>
  <c r="S270" i="12" s="1"/>
  <c r="R272" i="12"/>
  <c r="R270" i="12" s="1"/>
  <c r="Q272" i="12"/>
  <c r="Q270" i="12" s="1"/>
  <c r="N272" i="12"/>
  <c r="N270" i="12" s="1"/>
  <c r="M272" i="12"/>
  <c r="M270" i="12" s="1"/>
  <c r="L272" i="12"/>
  <c r="O272" i="12" s="1"/>
  <c r="U271" i="12"/>
  <c r="T271" i="12"/>
  <c r="P271" i="12"/>
  <c r="O271" i="12"/>
  <c r="S268" i="12"/>
  <c r="R268" i="12"/>
  <c r="U268" i="12" s="1"/>
  <c r="Q268" i="12"/>
  <c r="P268" i="12"/>
  <c r="N268" i="12"/>
  <c r="M268" i="12"/>
  <c r="L268" i="12"/>
  <c r="O268" i="12" s="1"/>
  <c r="J266" i="12"/>
  <c r="K264" i="12"/>
  <c r="K263" i="12"/>
  <c r="I261" i="12"/>
  <c r="K261" i="12" s="1"/>
  <c r="L259" i="12"/>
  <c r="L258" i="12"/>
  <c r="L257" i="12"/>
  <c r="L256" i="12"/>
  <c r="P255" i="12"/>
  <c r="N255" i="12"/>
  <c r="J254" i="12"/>
  <c r="K253" i="12"/>
  <c r="K252" i="12"/>
  <c r="I250" i="12"/>
  <c r="L248" i="12"/>
  <c r="L247" i="12"/>
  <c r="L246" i="12"/>
  <c r="L245" i="12"/>
  <c r="P244" i="12"/>
  <c r="N244" i="12"/>
  <c r="N233" i="12" s="1"/>
  <c r="J243" i="12"/>
  <c r="J242" i="12"/>
  <c r="I242" i="12"/>
  <c r="K242" i="12" s="1"/>
  <c r="J241" i="12"/>
  <c r="I241" i="12"/>
  <c r="K241" i="12" s="1"/>
  <c r="J239" i="12"/>
  <c r="N237" i="12"/>
  <c r="N236" i="12"/>
  <c r="N235" i="12"/>
  <c r="N234" i="12"/>
  <c r="J232" i="12"/>
  <c r="J186" i="12" s="1"/>
  <c r="I231" i="12"/>
  <c r="K231" i="12" s="1"/>
  <c r="I230" i="12"/>
  <c r="K230" i="12" s="1"/>
  <c r="I229" i="12"/>
  <c r="K229" i="12" s="1"/>
  <c r="L226" i="12"/>
  <c r="L225" i="12"/>
  <c r="L224" i="12"/>
  <c r="P223" i="12"/>
  <c r="N223" i="12"/>
  <c r="J222" i="12"/>
  <c r="I221" i="12"/>
  <c r="K221" i="12" s="1"/>
  <c r="I220" i="12"/>
  <c r="K220" i="12" s="1"/>
  <c r="L218" i="12"/>
  <c r="L217" i="12"/>
  <c r="L216" i="12"/>
  <c r="P215" i="12"/>
  <c r="N215" i="12"/>
  <c r="J214" i="12"/>
  <c r="I213" i="12"/>
  <c r="K213" i="12" s="1"/>
  <c r="I212" i="12"/>
  <c r="K212" i="12" s="1"/>
  <c r="I210" i="12"/>
  <c r="I203" i="12" s="1"/>
  <c r="K203" i="12" s="1"/>
  <c r="L208" i="12"/>
  <c r="L207" i="12"/>
  <c r="L206" i="12"/>
  <c r="L205" i="12"/>
  <c r="P204" i="12"/>
  <c r="N204" i="12"/>
  <c r="J203" i="12"/>
  <c r="J200" i="12"/>
  <c r="I199" i="12"/>
  <c r="K199" i="12" s="1"/>
  <c r="P197" i="12"/>
  <c r="L197" i="12"/>
  <c r="O197" i="12" s="1"/>
  <c r="J196" i="12"/>
  <c r="U195" i="12"/>
  <c r="T195" i="12"/>
  <c r="N195" i="12"/>
  <c r="N193" i="12" s="1"/>
  <c r="M195" i="12"/>
  <c r="P195" i="12" s="1"/>
  <c r="L195" i="12"/>
  <c r="O195" i="12" s="1"/>
  <c r="U194" i="12"/>
  <c r="T194" i="12"/>
  <c r="P194" i="12"/>
  <c r="O194" i="12"/>
  <c r="T193" i="12"/>
  <c r="S193" i="12"/>
  <c r="R193" i="12"/>
  <c r="U193" i="12" s="1"/>
  <c r="Q193" i="12"/>
  <c r="S192" i="12"/>
  <c r="S190" i="12" s="1"/>
  <c r="R192" i="12"/>
  <c r="R189" i="12" s="1"/>
  <c r="Q192" i="12"/>
  <c r="Q190" i="12" s="1"/>
  <c r="N192" i="12"/>
  <c r="M192" i="12"/>
  <c r="M190" i="12" s="1"/>
  <c r="L192" i="12"/>
  <c r="L190" i="12" s="1"/>
  <c r="U191" i="12"/>
  <c r="T191" i="12"/>
  <c r="P191" i="12"/>
  <c r="O191" i="12"/>
  <c r="U188" i="12"/>
  <c r="S188" i="12"/>
  <c r="R188" i="12"/>
  <c r="Q188" i="12"/>
  <c r="T188" i="12" s="1"/>
  <c r="P188" i="12"/>
  <c r="O188" i="12"/>
  <c r="N188" i="12"/>
  <c r="M188" i="12"/>
  <c r="L188" i="12"/>
  <c r="K185" i="12"/>
  <c r="I184" i="12"/>
  <c r="K184" i="12" s="1"/>
  <c r="U182" i="12"/>
  <c r="T182" i="12"/>
  <c r="N182" i="12"/>
  <c r="N180" i="12" s="1"/>
  <c r="M182" i="12"/>
  <c r="P182" i="12" s="1"/>
  <c r="L182" i="12"/>
  <c r="L180" i="12" s="1"/>
  <c r="O180" i="12" s="1"/>
  <c r="U181" i="12"/>
  <c r="T181" i="12"/>
  <c r="P181" i="12"/>
  <c r="O181" i="12"/>
  <c r="U180" i="12"/>
  <c r="S180" i="12"/>
  <c r="R180" i="12"/>
  <c r="Q180" i="12"/>
  <c r="T180" i="12" s="1"/>
  <c r="S179" i="12"/>
  <c r="S176" i="12" s="1"/>
  <c r="R179" i="12"/>
  <c r="R176" i="12" s="1"/>
  <c r="U176" i="12" s="1"/>
  <c r="Q179" i="12"/>
  <c r="T179" i="12" s="1"/>
  <c r="N179" i="12"/>
  <c r="N177" i="12" s="1"/>
  <c r="M179" i="12"/>
  <c r="L179" i="12"/>
  <c r="L177" i="12" s="1"/>
  <c r="U178" i="12"/>
  <c r="T178" i="12"/>
  <c r="P178" i="12"/>
  <c r="O178" i="12"/>
  <c r="T175" i="12"/>
  <c r="S175" i="12"/>
  <c r="R175" i="12"/>
  <c r="Q175" i="12"/>
  <c r="N175" i="12"/>
  <c r="M175" i="12"/>
  <c r="P175" i="12" s="1"/>
  <c r="L175" i="12"/>
  <c r="O175" i="12" s="1"/>
  <c r="J173" i="12"/>
  <c r="I170" i="12"/>
  <c r="K170" i="12" s="1"/>
  <c r="I169" i="12"/>
  <c r="K169" i="12" s="1"/>
  <c r="I168" i="12"/>
  <c r="K168" i="12" s="1"/>
  <c r="U166" i="12"/>
  <c r="T166" i="12"/>
  <c r="N166" i="12"/>
  <c r="N164" i="12" s="1"/>
  <c r="M166" i="12"/>
  <c r="P166" i="12" s="1"/>
  <c r="L166" i="12"/>
  <c r="O166" i="12" s="1"/>
  <c r="U165" i="12"/>
  <c r="T165" i="12"/>
  <c r="P165" i="12"/>
  <c r="O165" i="12"/>
  <c r="S164" i="12"/>
  <c r="R164" i="12"/>
  <c r="U164" i="12" s="1"/>
  <c r="Q164" i="12"/>
  <c r="T164" i="12" s="1"/>
  <c r="S163" i="12"/>
  <c r="S160" i="12" s="1"/>
  <c r="S158" i="12" s="1"/>
  <c r="R163" i="12"/>
  <c r="R160" i="12" s="1"/>
  <c r="U160" i="12" s="1"/>
  <c r="Q163" i="12"/>
  <c r="Q160" i="12" s="1"/>
  <c r="T160" i="12" s="1"/>
  <c r="N163" i="12"/>
  <c r="N161" i="12" s="1"/>
  <c r="M163" i="12"/>
  <c r="P163" i="12" s="1"/>
  <c r="L163" i="12"/>
  <c r="O163" i="12" s="1"/>
  <c r="U162" i="12"/>
  <c r="T162" i="12"/>
  <c r="P162" i="12"/>
  <c r="O162" i="12"/>
  <c r="M161" i="12"/>
  <c r="P161" i="12" s="1"/>
  <c r="S159" i="12"/>
  <c r="R159" i="12"/>
  <c r="Q159" i="12"/>
  <c r="T159" i="12" s="1"/>
  <c r="O159" i="12"/>
  <c r="N159" i="12"/>
  <c r="M159" i="12"/>
  <c r="P159" i="12" s="1"/>
  <c r="L159" i="12"/>
  <c r="J157" i="12"/>
  <c r="I155" i="12"/>
  <c r="K155" i="12" s="1"/>
  <c r="I154" i="12"/>
  <c r="K154" i="12" s="1"/>
  <c r="I153" i="12"/>
  <c r="I138" i="12" s="1"/>
  <c r="I152" i="12"/>
  <c r="K152" i="12" s="1"/>
  <c r="I151" i="12"/>
  <c r="K151" i="12" s="1"/>
  <c r="U148" i="12"/>
  <c r="T148" i="12"/>
  <c r="N148" i="12"/>
  <c r="N146" i="12" s="1"/>
  <c r="M148" i="12"/>
  <c r="P148" i="12" s="1"/>
  <c r="L148" i="12"/>
  <c r="L146" i="12" s="1"/>
  <c r="O146" i="12" s="1"/>
  <c r="U147" i="12"/>
  <c r="T147" i="12"/>
  <c r="P147" i="12"/>
  <c r="O147" i="12"/>
  <c r="U146" i="12"/>
  <c r="T146" i="12"/>
  <c r="S146" i="12"/>
  <c r="R146" i="12"/>
  <c r="Q146" i="12"/>
  <c r="S145" i="12"/>
  <c r="S143" i="12" s="1"/>
  <c r="R145" i="12"/>
  <c r="R143" i="12" s="1"/>
  <c r="U143" i="12" s="1"/>
  <c r="Q145" i="12"/>
  <c r="T145" i="12" s="1"/>
  <c r="N145" i="12"/>
  <c r="M145" i="12"/>
  <c r="M143" i="12" s="1"/>
  <c r="L145" i="12"/>
  <c r="L143" i="12" s="1"/>
  <c r="U144" i="12"/>
  <c r="T144" i="12"/>
  <c r="P144" i="12"/>
  <c r="O144" i="12"/>
  <c r="U141" i="12"/>
  <c r="S141" i="12"/>
  <c r="R141" i="12"/>
  <c r="Q141" i="12"/>
  <c r="T141" i="12" s="1"/>
  <c r="P141" i="12"/>
  <c r="O141" i="12"/>
  <c r="N141" i="12"/>
  <c r="M141" i="12"/>
  <c r="L141" i="12"/>
  <c r="J139" i="12"/>
  <c r="J138" i="12"/>
  <c r="J137" i="12"/>
  <c r="I131" i="12"/>
  <c r="K131" i="12" s="1"/>
  <c r="I130" i="12"/>
  <c r="K130" i="12" s="1"/>
  <c r="I129" i="12"/>
  <c r="K129" i="12" s="1"/>
  <c r="I128" i="12"/>
  <c r="K128" i="12" s="1"/>
  <c r="U126" i="12"/>
  <c r="T126" i="12"/>
  <c r="N126" i="12"/>
  <c r="N124" i="12" s="1"/>
  <c r="M126" i="12"/>
  <c r="P126" i="12" s="1"/>
  <c r="L126" i="12"/>
  <c r="L124" i="12" s="1"/>
  <c r="O124" i="12" s="1"/>
  <c r="U125" i="12"/>
  <c r="T125" i="12"/>
  <c r="P125" i="12"/>
  <c r="O125" i="12"/>
  <c r="S124" i="12"/>
  <c r="R124" i="12"/>
  <c r="U124" i="12" s="1"/>
  <c r="Q124" i="12"/>
  <c r="T124" i="12" s="1"/>
  <c r="S123" i="12"/>
  <c r="R123" i="12"/>
  <c r="R120" i="12" s="1"/>
  <c r="R118" i="12" s="1"/>
  <c r="Q123" i="12"/>
  <c r="Q120" i="12" s="1"/>
  <c r="Q118" i="12" s="1"/>
  <c r="N123" i="12"/>
  <c r="N121" i="12" s="1"/>
  <c r="M123" i="12"/>
  <c r="P123" i="12" s="1"/>
  <c r="L123" i="12"/>
  <c r="O123" i="12" s="1"/>
  <c r="U122" i="12"/>
  <c r="T122" i="12"/>
  <c r="P122" i="12"/>
  <c r="O122" i="12"/>
  <c r="U119" i="12"/>
  <c r="T119" i="12"/>
  <c r="S119" i="12"/>
  <c r="R119" i="12"/>
  <c r="Q119" i="12"/>
  <c r="O119" i="12"/>
  <c r="N119" i="12"/>
  <c r="M119" i="12"/>
  <c r="P119" i="12" s="1"/>
  <c r="L119" i="12"/>
  <c r="J117" i="12"/>
  <c r="I115" i="12"/>
  <c r="K115" i="12" s="1"/>
  <c r="I110" i="12"/>
  <c r="K110" i="12" s="1"/>
  <c r="I109" i="12"/>
  <c r="K109" i="12" s="1"/>
  <c r="U103" i="12"/>
  <c r="T103" i="12"/>
  <c r="N103" i="12"/>
  <c r="N101" i="12" s="1"/>
  <c r="M103" i="12"/>
  <c r="P103" i="12" s="1"/>
  <c r="L103" i="12"/>
  <c r="O103" i="12" s="1"/>
  <c r="U102" i="12"/>
  <c r="T102" i="12"/>
  <c r="P102" i="12"/>
  <c r="O102" i="12"/>
  <c r="U101" i="12"/>
  <c r="S101" i="12"/>
  <c r="R101" i="12"/>
  <c r="Q101" i="12"/>
  <c r="T101" i="12" s="1"/>
  <c r="S100" i="12"/>
  <c r="S97" i="12" s="1"/>
  <c r="R100" i="12"/>
  <c r="U100" i="12" s="1"/>
  <c r="Q100" i="12"/>
  <c r="T100" i="12" s="1"/>
  <c r="N100" i="12"/>
  <c r="N98" i="12" s="1"/>
  <c r="M100" i="12"/>
  <c r="L100" i="12"/>
  <c r="O100" i="12" s="1"/>
  <c r="U99" i="12"/>
  <c r="T99" i="12"/>
  <c r="P99" i="12"/>
  <c r="O99" i="12"/>
  <c r="T96" i="12"/>
  <c r="S96" i="12"/>
  <c r="R96" i="12"/>
  <c r="U96" i="12" s="1"/>
  <c r="Q96" i="12"/>
  <c r="N96" i="12"/>
  <c r="M96" i="12"/>
  <c r="L96" i="12"/>
  <c r="O96" i="12" s="1"/>
  <c r="J94" i="12"/>
  <c r="J93" i="12"/>
  <c r="I91" i="12"/>
  <c r="K91" i="12" s="1"/>
  <c r="I90" i="12"/>
  <c r="K90" i="12" s="1"/>
  <c r="I89" i="12"/>
  <c r="K89" i="12" s="1"/>
  <c r="I88" i="12"/>
  <c r="K88" i="12" s="1"/>
  <c r="I87" i="12"/>
  <c r="K87" i="12" s="1"/>
  <c r="I86" i="12"/>
  <c r="K86" i="12" s="1"/>
  <c r="I85" i="12"/>
  <c r="K85" i="12" s="1"/>
  <c r="J84" i="12"/>
  <c r="J83" i="12"/>
  <c r="J71" i="12" s="1"/>
  <c r="U81" i="12"/>
  <c r="T81" i="12"/>
  <c r="N81" i="12"/>
  <c r="N79" i="12" s="1"/>
  <c r="M81" i="12"/>
  <c r="M79" i="12" s="1"/>
  <c r="P79" i="12" s="1"/>
  <c r="L81" i="12"/>
  <c r="O81" i="12" s="1"/>
  <c r="U80" i="12"/>
  <c r="T80" i="12"/>
  <c r="P80" i="12"/>
  <c r="O80" i="12"/>
  <c r="U79" i="12"/>
  <c r="S79" i="12"/>
  <c r="R79" i="12"/>
  <c r="Q79" i="12"/>
  <c r="T79" i="12" s="1"/>
  <c r="S78" i="12"/>
  <c r="S76" i="12" s="1"/>
  <c r="R78" i="12"/>
  <c r="U78" i="12" s="1"/>
  <c r="Q78" i="12"/>
  <c r="T78" i="12" s="1"/>
  <c r="N78" i="12"/>
  <c r="N76" i="12" s="1"/>
  <c r="M78" i="12"/>
  <c r="M76" i="12" s="1"/>
  <c r="P76" i="12" s="1"/>
  <c r="L78" i="12"/>
  <c r="O78" i="12" s="1"/>
  <c r="U77" i="12"/>
  <c r="T77" i="12"/>
  <c r="P77" i="12"/>
  <c r="O77" i="12"/>
  <c r="S74" i="12"/>
  <c r="R74" i="12"/>
  <c r="Q74" i="12"/>
  <c r="T74" i="12" s="1"/>
  <c r="N74" i="12"/>
  <c r="M74" i="12"/>
  <c r="L74" i="12"/>
  <c r="J72" i="12"/>
  <c r="U68" i="12"/>
  <c r="T68" i="12"/>
  <c r="N68" i="12"/>
  <c r="N66" i="12" s="1"/>
  <c r="M68" i="12"/>
  <c r="P68" i="12" s="1"/>
  <c r="L68" i="12"/>
  <c r="L66" i="12" s="1"/>
  <c r="O66" i="12" s="1"/>
  <c r="U67" i="12"/>
  <c r="T67" i="12"/>
  <c r="P67" i="12"/>
  <c r="O67" i="12"/>
  <c r="T66" i="12"/>
  <c r="S66" i="12"/>
  <c r="R66" i="12"/>
  <c r="U66" i="12" s="1"/>
  <c r="Q66" i="12"/>
  <c r="U65" i="12"/>
  <c r="T65" i="12"/>
  <c r="N65" i="12"/>
  <c r="N63" i="12" s="1"/>
  <c r="M65" i="12"/>
  <c r="L65" i="12"/>
  <c r="L63" i="12" s="1"/>
  <c r="U64" i="12"/>
  <c r="T64" i="12"/>
  <c r="P64" i="12"/>
  <c r="O64" i="12"/>
  <c r="U63" i="12"/>
  <c r="S63" i="12"/>
  <c r="R63" i="12"/>
  <c r="Q63" i="12"/>
  <c r="T63" i="12" s="1"/>
  <c r="U62" i="12"/>
  <c r="T62" i="12"/>
  <c r="S62" i="12"/>
  <c r="R62" i="12"/>
  <c r="Q62" i="12"/>
  <c r="S61" i="12"/>
  <c r="S60" i="12" s="1"/>
  <c r="R61" i="12"/>
  <c r="Q61" i="12"/>
  <c r="T61" i="12" s="1"/>
  <c r="N61" i="12"/>
  <c r="M61" i="12"/>
  <c r="L61" i="12"/>
  <c r="U53" i="12"/>
  <c r="T53" i="12"/>
  <c r="N53" i="12"/>
  <c r="N51" i="12" s="1"/>
  <c r="M53" i="12"/>
  <c r="P53" i="12" s="1"/>
  <c r="L53" i="12"/>
  <c r="L51" i="12" s="1"/>
  <c r="O51" i="12" s="1"/>
  <c r="U52" i="12"/>
  <c r="T52" i="12"/>
  <c r="P52" i="12"/>
  <c r="O52" i="12"/>
  <c r="T51" i="12"/>
  <c r="S51" i="12"/>
  <c r="R51" i="12"/>
  <c r="U51" i="12" s="1"/>
  <c r="Q51" i="12"/>
  <c r="U50" i="12"/>
  <c r="T50" i="12"/>
  <c r="N50" i="12"/>
  <c r="N48" i="12" s="1"/>
  <c r="M50" i="12"/>
  <c r="M48" i="12" s="1"/>
  <c r="L50" i="12"/>
  <c r="L48" i="12" s="1"/>
  <c r="U49" i="12"/>
  <c r="T49" i="12"/>
  <c r="P49" i="12"/>
  <c r="O49" i="12"/>
  <c r="U48" i="12"/>
  <c r="S48" i="12"/>
  <c r="R48" i="12"/>
  <c r="Q48" i="12"/>
  <c r="T48" i="12" s="1"/>
  <c r="U47" i="12"/>
  <c r="T47" i="12"/>
  <c r="S47" i="12"/>
  <c r="R47" i="12"/>
  <c r="Q47" i="12"/>
  <c r="S46" i="12"/>
  <c r="S45" i="12" s="1"/>
  <c r="R46" i="12"/>
  <c r="U46" i="12" s="1"/>
  <c r="Q46" i="12"/>
  <c r="T46" i="12" s="1"/>
  <c r="N46" i="12"/>
  <c r="M46" i="12"/>
  <c r="L46" i="12"/>
  <c r="O46" i="12" s="1"/>
  <c r="R45" i="12"/>
  <c r="U45" i="12" s="1"/>
  <c r="Q45" i="12"/>
  <c r="T45" i="12" s="1"/>
  <c r="T27" i="12"/>
  <c r="S27" i="12"/>
  <c r="R27" i="12"/>
  <c r="Q27" i="12"/>
  <c r="S26" i="12"/>
  <c r="S25" i="12" s="1"/>
  <c r="R26" i="12"/>
  <c r="Q26" i="12"/>
  <c r="T26" i="12" s="1"/>
  <c r="N26" i="12"/>
  <c r="M26" i="12"/>
  <c r="L26" i="12"/>
  <c r="S23" i="12"/>
  <c r="R23" i="12"/>
  <c r="U23" i="12" s="1"/>
  <c r="Q23" i="12"/>
  <c r="T23" i="12" s="1"/>
  <c r="P23" i="12"/>
  <c r="N23" i="12"/>
  <c r="M23" i="12"/>
  <c r="L23" i="12"/>
  <c r="O23" i="12" s="1"/>
  <c r="S20" i="12"/>
  <c r="R20" i="12"/>
  <c r="U20" i="12" s="1"/>
  <c r="N20" i="12"/>
  <c r="M20" i="12"/>
  <c r="P20" i="12" s="1"/>
  <c r="L20" i="12"/>
  <c r="O20" i="12" s="1"/>
  <c r="A790" i="11"/>
  <c r="A789" i="11"/>
  <c r="J786" i="11"/>
  <c r="I786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H778" i="11"/>
  <c r="I777" i="11"/>
  <c r="I776" i="11"/>
  <c r="I775" i="11"/>
  <c r="K775" i="11" s="1"/>
  <c r="I773" i="11"/>
  <c r="I771" i="11"/>
  <c r="K771" i="11" s="1"/>
  <c r="U769" i="11"/>
  <c r="T769" i="11"/>
  <c r="P769" i="11"/>
  <c r="O769" i="11"/>
  <c r="U768" i="11"/>
  <c r="T768" i="11"/>
  <c r="P768" i="11"/>
  <c r="O768" i="11"/>
  <c r="S767" i="11"/>
  <c r="R767" i="11"/>
  <c r="U767" i="11" s="1"/>
  <c r="Q767" i="11"/>
  <c r="T767" i="11" s="1"/>
  <c r="P767" i="11"/>
  <c r="N767" i="11"/>
  <c r="M767" i="11"/>
  <c r="L767" i="11"/>
  <c r="O767" i="11" s="1"/>
  <c r="S766" i="11"/>
  <c r="R766" i="11"/>
  <c r="U766" i="11" s="1"/>
  <c r="Q766" i="11"/>
  <c r="Q764" i="11" s="1"/>
  <c r="T764" i="11" s="1"/>
  <c r="P766" i="11"/>
  <c r="O766" i="11"/>
  <c r="U765" i="11"/>
  <c r="T765" i="11"/>
  <c r="P765" i="11"/>
  <c r="O765" i="11"/>
  <c r="O764" i="11"/>
  <c r="N764" i="11"/>
  <c r="M764" i="11"/>
  <c r="P764" i="11" s="1"/>
  <c r="L764" i="11"/>
  <c r="N763" i="11"/>
  <c r="M763" i="11"/>
  <c r="L763" i="11"/>
  <c r="U762" i="11"/>
  <c r="S762" i="11"/>
  <c r="R762" i="11"/>
  <c r="Q762" i="11"/>
  <c r="P762" i="11"/>
  <c r="O762" i="11"/>
  <c r="N762" i="11"/>
  <c r="M762" i="11"/>
  <c r="L762" i="11"/>
  <c r="N761" i="11"/>
  <c r="J760" i="11"/>
  <c r="J759" i="11"/>
  <c r="I756" i="11"/>
  <c r="K756" i="11" s="1"/>
  <c r="I753" i="11"/>
  <c r="K753" i="11" s="1"/>
  <c r="I750" i="11"/>
  <c r="K750" i="11" s="1"/>
  <c r="I747" i="11"/>
  <c r="K747" i="11" s="1"/>
  <c r="I745" i="11"/>
  <c r="K745" i="11" s="1"/>
  <c r="I743" i="11"/>
  <c r="K743" i="11" s="1"/>
  <c r="I741" i="11"/>
  <c r="K741" i="11" s="1"/>
  <c r="U737" i="11"/>
  <c r="T737" i="11"/>
  <c r="P737" i="11"/>
  <c r="O737" i="11"/>
  <c r="U736" i="11"/>
  <c r="T736" i="11"/>
  <c r="P736" i="11"/>
  <c r="O736" i="11"/>
  <c r="U735" i="11"/>
  <c r="S735" i="11"/>
  <c r="R735" i="11"/>
  <c r="Q735" i="11"/>
  <c r="T735" i="11" s="1"/>
  <c r="P735" i="11"/>
  <c r="O735" i="11"/>
  <c r="N735" i="11"/>
  <c r="M735" i="11"/>
  <c r="L735" i="11"/>
  <c r="S734" i="11"/>
  <c r="S731" i="11" s="1"/>
  <c r="S729" i="11" s="1"/>
  <c r="R734" i="11"/>
  <c r="R732" i="11" s="1"/>
  <c r="Q734" i="11"/>
  <c r="P734" i="11"/>
  <c r="O734" i="11"/>
  <c r="U733" i="11"/>
  <c r="T733" i="11"/>
  <c r="P733" i="11"/>
  <c r="O733" i="11"/>
  <c r="N732" i="11"/>
  <c r="M732" i="11"/>
  <c r="P732" i="11" s="1"/>
  <c r="L732" i="11"/>
  <c r="O732" i="11" s="1"/>
  <c r="P731" i="11"/>
  <c r="N731" i="11"/>
  <c r="M731" i="11"/>
  <c r="L731" i="11"/>
  <c r="U730" i="11"/>
  <c r="T730" i="11"/>
  <c r="S730" i="11"/>
  <c r="R730" i="11"/>
  <c r="Q730" i="11"/>
  <c r="P730" i="11"/>
  <c r="O730" i="11"/>
  <c r="N730" i="11"/>
  <c r="M730" i="11"/>
  <c r="L730" i="11"/>
  <c r="N729" i="11"/>
  <c r="M729" i="11"/>
  <c r="P729" i="11" s="1"/>
  <c r="J728" i="11"/>
  <c r="I728" i="11"/>
  <c r="K728" i="11" s="1"/>
  <c r="J727" i="11"/>
  <c r="I727" i="11"/>
  <c r="U723" i="11"/>
  <c r="T723" i="11"/>
  <c r="P723" i="11"/>
  <c r="O723" i="11"/>
  <c r="U722" i="11"/>
  <c r="T722" i="11"/>
  <c r="P722" i="11"/>
  <c r="O722" i="11"/>
  <c r="U721" i="11"/>
  <c r="T721" i="11"/>
  <c r="S721" i="11"/>
  <c r="R721" i="11"/>
  <c r="Q721" i="11"/>
  <c r="N721" i="11"/>
  <c r="M721" i="11"/>
  <c r="P721" i="11" s="1"/>
  <c r="L721" i="11"/>
  <c r="O721" i="11" s="1"/>
  <c r="U720" i="11"/>
  <c r="T720" i="11"/>
  <c r="P720" i="11"/>
  <c r="O720" i="11"/>
  <c r="U719" i="11"/>
  <c r="T719" i="11"/>
  <c r="P719" i="11"/>
  <c r="O719" i="11"/>
  <c r="T718" i="11"/>
  <c r="S718" i="11"/>
  <c r="R718" i="11"/>
  <c r="U718" i="11" s="1"/>
  <c r="Q718" i="11"/>
  <c r="N718" i="11"/>
  <c r="M718" i="11"/>
  <c r="P718" i="11" s="1"/>
  <c r="L718" i="11"/>
  <c r="O718" i="11" s="1"/>
  <c r="S717" i="11"/>
  <c r="R717" i="11"/>
  <c r="Q717" i="11"/>
  <c r="P717" i="11"/>
  <c r="N717" i="11"/>
  <c r="M717" i="11"/>
  <c r="L717" i="11"/>
  <c r="U716" i="11"/>
  <c r="T716" i="11"/>
  <c r="S716" i="11"/>
  <c r="R716" i="11"/>
  <c r="Q716" i="11"/>
  <c r="P716" i="11"/>
  <c r="O716" i="11"/>
  <c r="N716" i="11"/>
  <c r="M716" i="11"/>
  <c r="L716" i="11"/>
  <c r="S715" i="11"/>
  <c r="N715" i="11"/>
  <c r="M715" i="11"/>
  <c r="P715" i="11" s="1"/>
  <c r="K713" i="11"/>
  <c r="J713" i="11"/>
  <c r="K711" i="11"/>
  <c r="J711" i="11"/>
  <c r="J710" i="11"/>
  <c r="I710" i="11"/>
  <c r="K709" i="11"/>
  <c r="J709" i="11"/>
  <c r="J708" i="11"/>
  <c r="J690" i="11" s="1"/>
  <c r="I708" i="11"/>
  <c r="K707" i="11"/>
  <c r="J707" i="11"/>
  <c r="J706" i="11"/>
  <c r="I706" i="11"/>
  <c r="K705" i="11"/>
  <c r="J705" i="11"/>
  <c r="J704" i="11"/>
  <c r="I704" i="11"/>
  <c r="K703" i="11"/>
  <c r="I701" i="11"/>
  <c r="K701" i="11" s="1"/>
  <c r="U699" i="11"/>
  <c r="T699" i="11"/>
  <c r="P699" i="11"/>
  <c r="O699" i="11"/>
  <c r="U698" i="11"/>
  <c r="T698" i="11"/>
  <c r="P698" i="11"/>
  <c r="O698" i="11"/>
  <c r="S697" i="11"/>
  <c r="R697" i="11"/>
  <c r="U697" i="11" s="1"/>
  <c r="Q697" i="11"/>
  <c r="T697" i="11" s="1"/>
  <c r="N697" i="11"/>
  <c r="M697" i="11"/>
  <c r="P697" i="11" s="1"/>
  <c r="L697" i="11"/>
  <c r="O697" i="11" s="1"/>
  <c r="S696" i="11"/>
  <c r="S694" i="11" s="1"/>
  <c r="R696" i="11"/>
  <c r="R693" i="11" s="1"/>
  <c r="Q696" i="11"/>
  <c r="P696" i="11"/>
  <c r="O696" i="11"/>
  <c r="U695" i="11"/>
  <c r="T695" i="11"/>
  <c r="P695" i="11"/>
  <c r="O695" i="11"/>
  <c r="P694" i="11"/>
  <c r="O694" i="11"/>
  <c r="N694" i="11"/>
  <c r="M694" i="11"/>
  <c r="L694" i="11"/>
  <c r="N693" i="11"/>
  <c r="N691" i="11" s="1"/>
  <c r="M693" i="11"/>
  <c r="L693" i="11"/>
  <c r="O693" i="11" s="1"/>
  <c r="S692" i="11"/>
  <c r="R692" i="11"/>
  <c r="Q692" i="11"/>
  <c r="N692" i="11"/>
  <c r="M692" i="11"/>
  <c r="P692" i="11" s="1"/>
  <c r="L692" i="11"/>
  <c r="I690" i="11"/>
  <c r="J683" i="11"/>
  <c r="I683" i="11"/>
  <c r="K683" i="11" s="1"/>
  <c r="J682" i="11"/>
  <c r="I682" i="11"/>
  <c r="K682" i="11" s="1"/>
  <c r="J681" i="11"/>
  <c r="J680" i="11"/>
  <c r="I680" i="11"/>
  <c r="K680" i="11" s="1"/>
  <c r="J679" i="11"/>
  <c r="I679" i="11"/>
  <c r="K679" i="11" s="1"/>
  <c r="J678" i="11"/>
  <c r="J677" i="11"/>
  <c r="I677" i="11"/>
  <c r="K677" i="11" s="1"/>
  <c r="I676" i="11"/>
  <c r="K676" i="11" s="1"/>
  <c r="I675" i="11"/>
  <c r="K675" i="11" s="1"/>
  <c r="J674" i="11"/>
  <c r="I674" i="11"/>
  <c r="K674" i="11" s="1"/>
  <c r="J673" i="11"/>
  <c r="J672" i="11"/>
  <c r="J662" i="11"/>
  <c r="I662" i="11"/>
  <c r="K662" i="11" s="1"/>
  <c r="I661" i="11"/>
  <c r="I658" i="11"/>
  <c r="J655" i="11"/>
  <c r="I655" i="11"/>
  <c r="K655" i="11" s="1"/>
  <c r="J654" i="11"/>
  <c r="I654" i="11"/>
  <c r="K654" i="11" s="1"/>
  <c r="J653" i="11"/>
  <c r="I653" i="11"/>
  <c r="K653" i="11" s="1"/>
  <c r="U651" i="11"/>
  <c r="T651" i="11"/>
  <c r="P651" i="11"/>
  <c r="O651" i="11"/>
  <c r="U650" i="11"/>
  <c r="T650" i="11"/>
  <c r="P650" i="11"/>
  <c r="O650" i="11"/>
  <c r="S649" i="11"/>
  <c r="R649" i="11"/>
  <c r="U649" i="11" s="1"/>
  <c r="Q649" i="11"/>
  <c r="T649" i="11" s="1"/>
  <c r="N649" i="11"/>
  <c r="M649" i="11"/>
  <c r="P649" i="11" s="1"/>
  <c r="L649" i="11"/>
  <c r="O649" i="11" s="1"/>
  <c r="S648" i="11"/>
  <c r="S646" i="11" s="1"/>
  <c r="R648" i="11"/>
  <c r="Q648" i="11"/>
  <c r="P648" i="11"/>
  <c r="O648" i="11"/>
  <c r="U647" i="11"/>
  <c r="T647" i="11"/>
  <c r="P647" i="11"/>
  <c r="O647" i="11"/>
  <c r="P646" i="11"/>
  <c r="O646" i="11"/>
  <c r="N646" i="11"/>
  <c r="M646" i="11"/>
  <c r="L646" i="11"/>
  <c r="O645" i="11"/>
  <c r="N645" i="11"/>
  <c r="N643" i="11" s="1"/>
  <c r="M645" i="11"/>
  <c r="L645" i="11"/>
  <c r="S644" i="11"/>
  <c r="R644" i="11"/>
  <c r="Q644" i="11"/>
  <c r="N644" i="11"/>
  <c r="M644" i="11"/>
  <c r="P644" i="11" s="1"/>
  <c r="L644" i="11"/>
  <c r="J637" i="11"/>
  <c r="J636" i="11"/>
  <c r="I636" i="11"/>
  <c r="K636" i="11" s="1"/>
  <c r="J633" i="11"/>
  <c r="I629" i="11"/>
  <c r="K629" i="11" s="1"/>
  <c r="I628" i="11"/>
  <c r="K628" i="11" s="1"/>
  <c r="J627" i="11"/>
  <c r="I627" i="11"/>
  <c r="U625" i="11"/>
  <c r="T625" i="11"/>
  <c r="P625" i="11"/>
  <c r="O625" i="11"/>
  <c r="U624" i="11"/>
  <c r="T624" i="11"/>
  <c r="P624" i="11"/>
  <c r="O624" i="11"/>
  <c r="T623" i="11"/>
  <c r="S623" i="11"/>
  <c r="R623" i="11"/>
  <c r="U623" i="11" s="1"/>
  <c r="Q623" i="11"/>
  <c r="N623" i="11"/>
  <c r="M623" i="11"/>
  <c r="P623" i="11" s="1"/>
  <c r="L623" i="11"/>
  <c r="O623" i="11" s="1"/>
  <c r="S622" i="11"/>
  <c r="S620" i="11" s="1"/>
  <c r="R622" i="11"/>
  <c r="Q622" i="11"/>
  <c r="P622" i="11"/>
  <c r="O622" i="11"/>
  <c r="U621" i="11"/>
  <c r="T621" i="11"/>
  <c r="P621" i="11"/>
  <c r="O621" i="11"/>
  <c r="P620" i="11"/>
  <c r="N620" i="11"/>
  <c r="M620" i="11"/>
  <c r="L620" i="11"/>
  <c r="O620" i="11" s="1"/>
  <c r="P619" i="11"/>
  <c r="O619" i="11"/>
  <c r="N619" i="11"/>
  <c r="N617" i="11" s="1"/>
  <c r="M619" i="11"/>
  <c r="L619" i="11"/>
  <c r="T618" i="11"/>
  <c r="S618" i="11"/>
  <c r="R618" i="11"/>
  <c r="Q618" i="11"/>
  <c r="N618" i="11"/>
  <c r="M618" i="11"/>
  <c r="L618" i="11"/>
  <c r="J616" i="11"/>
  <c r="U608" i="11"/>
  <c r="T608" i="11"/>
  <c r="P608" i="11"/>
  <c r="O608" i="11"/>
  <c r="U607" i="11"/>
  <c r="T607" i="11"/>
  <c r="P607" i="11"/>
  <c r="O607" i="11"/>
  <c r="U606" i="11"/>
  <c r="T606" i="11"/>
  <c r="S606" i="11"/>
  <c r="R606" i="11"/>
  <c r="Q606" i="11"/>
  <c r="O606" i="11"/>
  <c r="N606" i="11"/>
  <c r="M606" i="11"/>
  <c r="P606" i="11" s="1"/>
  <c r="L606" i="11"/>
  <c r="U605" i="11"/>
  <c r="T605" i="11"/>
  <c r="P605" i="11"/>
  <c r="O605" i="11"/>
  <c r="U604" i="11"/>
  <c r="T604" i="11"/>
  <c r="P604" i="11"/>
  <c r="O604" i="11"/>
  <c r="U603" i="11"/>
  <c r="T603" i="11"/>
  <c r="S603" i="11"/>
  <c r="R603" i="11"/>
  <c r="Q603" i="11"/>
  <c r="O603" i="11"/>
  <c r="N603" i="11"/>
  <c r="M603" i="11"/>
  <c r="P603" i="11" s="1"/>
  <c r="L603" i="11"/>
  <c r="S602" i="11"/>
  <c r="R602" i="11"/>
  <c r="U602" i="11" s="1"/>
  <c r="Q602" i="11"/>
  <c r="N602" i="11"/>
  <c r="M602" i="11"/>
  <c r="P602" i="11" s="1"/>
  <c r="L602" i="11"/>
  <c r="O602" i="11" s="1"/>
  <c r="U601" i="11"/>
  <c r="S601" i="11"/>
  <c r="R601" i="11"/>
  <c r="R600" i="11" s="1"/>
  <c r="U600" i="11" s="1"/>
  <c r="Q601" i="11"/>
  <c r="T601" i="11" s="1"/>
  <c r="P601" i="11"/>
  <c r="O601" i="11"/>
  <c r="N601" i="11"/>
  <c r="M601" i="11"/>
  <c r="L601" i="11"/>
  <c r="S600" i="11"/>
  <c r="N600" i="11"/>
  <c r="M600" i="11"/>
  <c r="P600" i="11" s="1"/>
  <c r="U585" i="11"/>
  <c r="T585" i="11"/>
  <c r="P585" i="11"/>
  <c r="O585" i="11"/>
  <c r="U584" i="11"/>
  <c r="T584" i="11"/>
  <c r="P584" i="11"/>
  <c r="O584" i="11"/>
  <c r="U583" i="11"/>
  <c r="T583" i="11"/>
  <c r="S583" i="11"/>
  <c r="R583" i="11"/>
  <c r="Q583" i="11"/>
  <c r="O583" i="11"/>
  <c r="N583" i="11"/>
  <c r="M583" i="11"/>
  <c r="P583" i="11" s="1"/>
  <c r="L583" i="11"/>
  <c r="U582" i="11"/>
  <c r="T582" i="11"/>
  <c r="P582" i="11"/>
  <c r="O582" i="11"/>
  <c r="U581" i="11"/>
  <c r="T581" i="11"/>
  <c r="P581" i="11"/>
  <c r="O581" i="11"/>
  <c r="T580" i="11"/>
  <c r="S580" i="11"/>
  <c r="R580" i="11"/>
  <c r="U580" i="11" s="1"/>
  <c r="Q580" i="11"/>
  <c r="N580" i="11"/>
  <c r="M580" i="11"/>
  <c r="P580" i="11" s="1"/>
  <c r="L580" i="11"/>
  <c r="O580" i="11" s="1"/>
  <c r="S579" i="11"/>
  <c r="R579" i="11"/>
  <c r="Q579" i="11"/>
  <c r="N579" i="11"/>
  <c r="M579" i="11"/>
  <c r="P579" i="11" s="1"/>
  <c r="L579" i="11"/>
  <c r="U578" i="11"/>
  <c r="S578" i="11"/>
  <c r="R578" i="11"/>
  <c r="Q578" i="11"/>
  <c r="T578" i="11" s="1"/>
  <c r="P578" i="11"/>
  <c r="O578" i="11"/>
  <c r="N578" i="11"/>
  <c r="M578" i="11"/>
  <c r="L578" i="11"/>
  <c r="S577" i="11"/>
  <c r="N577" i="11"/>
  <c r="M577" i="11"/>
  <c r="P577" i="11" s="1"/>
  <c r="J576" i="11"/>
  <c r="I576" i="11"/>
  <c r="K576" i="11" s="1"/>
  <c r="U564" i="11"/>
  <c r="T564" i="11"/>
  <c r="P564" i="11"/>
  <c r="O564" i="11"/>
  <c r="U563" i="11"/>
  <c r="T563" i="11"/>
  <c r="P563" i="11"/>
  <c r="O563" i="11"/>
  <c r="U562" i="11"/>
  <c r="S562" i="11"/>
  <c r="R562" i="11"/>
  <c r="Q562" i="11"/>
  <c r="T562" i="11" s="1"/>
  <c r="P562" i="11"/>
  <c r="O562" i="11"/>
  <c r="N562" i="11"/>
  <c r="M562" i="11"/>
  <c r="L562" i="11"/>
  <c r="U561" i="11"/>
  <c r="T561" i="11"/>
  <c r="P561" i="11"/>
  <c r="O561" i="11"/>
  <c r="U560" i="11"/>
  <c r="T560" i="11"/>
  <c r="P560" i="11"/>
  <c r="O560" i="11"/>
  <c r="U559" i="11"/>
  <c r="S559" i="11"/>
  <c r="R559" i="11"/>
  <c r="Q559" i="11"/>
  <c r="T559" i="11" s="1"/>
  <c r="P559" i="11"/>
  <c r="O559" i="11"/>
  <c r="N559" i="11"/>
  <c r="M559" i="11"/>
  <c r="L559" i="11"/>
  <c r="U558" i="11"/>
  <c r="T558" i="11"/>
  <c r="S558" i="11"/>
  <c r="R558" i="11"/>
  <c r="Q558" i="11"/>
  <c r="O558" i="11"/>
  <c r="N558" i="11"/>
  <c r="N556" i="11" s="1"/>
  <c r="M558" i="11"/>
  <c r="P558" i="11" s="1"/>
  <c r="L558" i="11"/>
  <c r="S557" i="11"/>
  <c r="S556" i="11" s="1"/>
  <c r="R557" i="11"/>
  <c r="Q557" i="11"/>
  <c r="T557" i="11" s="1"/>
  <c r="N557" i="11"/>
  <c r="M557" i="11"/>
  <c r="L557" i="11"/>
  <c r="Q556" i="11"/>
  <c r="T556" i="11" s="1"/>
  <c r="K555" i="11"/>
  <c r="J555" i="11"/>
  <c r="I555" i="11"/>
  <c r="U543" i="11"/>
  <c r="T543" i="11"/>
  <c r="P543" i="11"/>
  <c r="O543" i="11"/>
  <c r="U542" i="11"/>
  <c r="T542" i="11"/>
  <c r="P542" i="11"/>
  <c r="O542" i="11"/>
  <c r="T541" i="11"/>
  <c r="S541" i="11"/>
  <c r="R541" i="11"/>
  <c r="U541" i="11" s="1"/>
  <c r="Q541" i="11"/>
  <c r="N541" i="11"/>
  <c r="M541" i="11"/>
  <c r="P541" i="11" s="1"/>
  <c r="L541" i="11"/>
  <c r="O541" i="11" s="1"/>
  <c r="U540" i="11"/>
  <c r="T540" i="11"/>
  <c r="P540" i="11"/>
  <c r="O540" i="11"/>
  <c r="U539" i="11"/>
  <c r="T539" i="11"/>
  <c r="P539" i="11"/>
  <c r="O539" i="11"/>
  <c r="T538" i="11"/>
  <c r="S538" i="11"/>
  <c r="R538" i="11"/>
  <c r="U538" i="11" s="1"/>
  <c r="Q538" i="11"/>
  <c r="N538" i="11"/>
  <c r="M538" i="11"/>
  <c r="P538" i="11" s="1"/>
  <c r="L538" i="11"/>
  <c r="O538" i="11" s="1"/>
  <c r="S537" i="11"/>
  <c r="R537" i="11"/>
  <c r="Q537" i="11"/>
  <c r="N537" i="11"/>
  <c r="M537" i="11"/>
  <c r="P537" i="11" s="1"/>
  <c r="L537" i="11"/>
  <c r="U536" i="11"/>
  <c r="S536" i="11"/>
  <c r="R536" i="11"/>
  <c r="Q536" i="11"/>
  <c r="T536" i="11" s="1"/>
  <c r="P536" i="11"/>
  <c r="O536" i="11"/>
  <c r="N536" i="11"/>
  <c r="M536" i="11"/>
  <c r="L536" i="11"/>
  <c r="S535" i="11"/>
  <c r="N535" i="11"/>
  <c r="M535" i="11"/>
  <c r="P535" i="11" s="1"/>
  <c r="J534" i="11"/>
  <c r="I534" i="11"/>
  <c r="K534" i="11" s="1"/>
  <c r="K525" i="11"/>
  <c r="K524" i="11"/>
  <c r="U522" i="11"/>
  <c r="T522" i="11"/>
  <c r="N522" i="11"/>
  <c r="M522" i="11"/>
  <c r="L522" i="11"/>
  <c r="U521" i="11"/>
  <c r="T521" i="11"/>
  <c r="P521" i="11"/>
  <c r="O521" i="11"/>
  <c r="U520" i="11"/>
  <c r="T520" i="11"/>
  <c r="S520" i="11"/>
  <c r="R520" i="11"/>
  <c r="Q520" i="11"/>
  <c r="U519" i="11"/>
  <c r="T519" i="11"/>
  <c r="N519" i="11"/>
  <c r="N517" i="11" s="1"/>
  <c r="M519" i="11"/>
  <c r="M517" i="11" s="1"/>
  <c r="P517" i="11" s="1"/>
  <c r="L519" i="11"/>
  <c r="O519" i="11" s="1"/>
  <c r="U518" i="11"/>
  <c r="T518" i="11"/>
  <c r="P518" i="11"/>
  <c r="O518" i="11"/>
  <c r="S517" i="11"/>
  <c r="R517" i="11"/>
  <c r="U517" i="11" s="1"/>
  <c r="Q517" i="11"/>
  <c r="T517" i="11" s="1"/>
  <c r="S516" i="11"/>
  <c r="R516" i="11"/>
  <c r="U516" i="11" s="1"/>
  <c r="Q516" i="11"/>
  <c r="U515" i="11"/>
  <c r="T515" i="11"/>
  <c r="S515" i="11"/>
  <c r="R515" i="11"/>
  <c r="Q515" i="11"/>
  <c r="P515" i="11"/>
  <c r="O515" i="11"/>
  <c r="N515" i="11"/>
  <c r="M515" i="11"/>
  <c r="L515" i="11"/>
  <c r="S514" i="11"/>
  <c r="R514" i="11"/>
  <c r="U514" i="11" s="1"/>
  <c r="K513" i="11"/>
  <c r="J513" i="11"/>
  <c r="I513" i="11"/>
  <c r="I510" i="11"/>
  <c r="K510" i="11" s="1"/>
  <c r="K509" i="11"/>
  <c r="I508" i="11"/>
  <c r="K508" i="11" s="1"/>
  <c r="I507" i="11"/>
  <c r="K507" i="11" s="1"/>
  <c r="I506" i="11"/>
  <c r="I505" i="11"/>
  <c r="K505" i="11" s="1"/>
  <c r="I504" i="11"/>
  <c r="U502" i="11"/>
  <c r="T502" i="11"/>
  <c r="P502" i="11"/>
  <c r="O502" i="11"/>
  <c r="U501" i="11"/>
  <c r="T501" i="11"/>
  <c r="P501" i="11"/>
  <c r="O501" i="11"/>
  <c r="S500" i="11"/>
  <c r="R500" i="11"/>
  <c r="U500" i="11" s="1"/>
  <c r="Q500" i="11"/>
  <c r="T500" i="11" s="1"/>
  <c r="N500" i="11"/>
  <c r="M500" i="11"/>
  <c r="P500" i="11" s="1"/>
  <c r="L500" i="11"/>
  <c r="O500" i="11" s="1"/>
  <c r="S499" i="11"/>
  <c r="R499" i="11"/>
  <c r="R497" i="11" s="1"/>
  <c r="U497" i="11" s="1"/>
  <c r="Q499" i="11"/>
  <c r="T499" i="11" s="1"/>
  <c r="P499" i="11"/>
  <c r="O499" i="11"/>
  <c r="U498" i="11"/>
  <c r="T498" i="11"/>
  <c r="P498" i="11"/>
  <c r="O498" i="11"/>
  <c r="P497" i="11"/>
  <c r="O497" i="11"/>
  <c r="N497" i="11"/>
  <c r="M497" i="11"/>
  <c r="L497" i="11"/>
  <c r="N496" i="11"/>
  <c r="M496" i="11"/>
  <c r="L496" i="11"/>
  <c r="S495" i="11"/>
  <c r="R495" i="11"/>
  <c r="U495" i="11" s="1"/>
  <c r="Q495" i="11"/>
  <c r="P495" i="11"/>
  <c r="N495" i="11"/>
  <c r="M495" i="11"/>
  <c r="L495" i="11"/>
  <c r="O495" i="11" s="1"/>
  <c r="N494" i="11"/>
  <c r="K486" i="11"/>
  <c r="J486" i="11"/>
  <c r="I486" i="11"/>
  <c r="J485" i="11"/>
  <c r="I485" i="11"/>
  <c r="K485" i="11" s="1"/>
  <c r="J484" i="11"/>
  <c r="J483" i="11"/>
  <c r="K478" i="11"/>
  <c r="J478" i="11"/>
  <c r="K477" i="11"/>
  <c r="J477" i="11"/>
  <c r="K476" i="11"/>
  <c r="J476" i="11"/>
  <c r="J469" i="11"/>
  <c r="J468" i="11"/>
  <c r="J461" i="11"/>
  <c r="J459" i="11" s="1"/>
  <c r="J460" i="11"/>
  <c r="J458" i="11" s="1"/>
  <c r="J457" i="11" s="1"/>
  <c r="I459" i="11"/>
  <c r="K459" i="11" s="1"/>
  <c r="I458" i="11"/>
  <c r="J448" i="11"/>
  <c r="J447" i="11"/>
  <c r="J442" i="11"/>
  <c r="I442" i="11"/>
  <c r="K442" i="11" s="1"/>
  <c r="J441" i="11"/>
  <c r="I441" i="11"/>
  <c r="K441" i="11" s="1"/>
  <c r="J434" i="11"/>
  <c r="I434" i="11"/>
  <c r="K434" i="11" s="1"/>
  <c r="J433" i="11"/>
  <c r="I433" i="11"/>
  <c r="K433" i="11" s="1"/>
  <c r="J426" i="11"/>
  <c r="I426" i="11"/>
  <c r="K426" i="11" s="1"/>
  <c r="J425" i="11"/>
  <c r="I425" i="11"/>
  <c r="K425" i="11" s="1"/>
  <c r="J424" i="11"/>
  <c r="U422" i="11"/>
  <c r="T422" i="11"/>
  <c r="P422" i="11"/>
  <c r="O422" i="11"/>
  <c r="U421" i="11"/>
  <c r="T421" i="11"/>
  <c r="P421" i="11"/>
  <c r="O421" i="11"/>
  <c r="U420" i="11"/>
  <c r="T420" i="11"/>
  <c r="S420" i="11"/>
  <c r="R420" i="11"/>
  <c r="Q420" i="11"/>
  <c r="O420" i="11"/>
  <c r="N420" i="11"/>
  <c r="M420" i="11"/>
  <c r="P420" i="11" s="1"/>
  <c r="L420" i="11"/>
  <c r="S419" i="11"/>
  <c r="S416" i="11" s="1"/>
  <c r="R419" i="11"/>
  <c r="Q419" i="11"/>
  <c r="Q417" i="11" s="1"/>
  <c r="T417" i="11" s="1"/>
  <c r="P419" i="11"/>
  <c r="O419" i="11"/>
  <c r="U418" i="11"/>
  <c r="T418" i="11"/>
  <c r="P418" i="11"/>
  <c r="O418" i="11"/>
  <c r="P417" i="11"/>
  <c r="N417" i="11"/>
  <c r="M417" i="11"/>
  <c r="L417" i="11"/>
  <c r="O417" i="11" s="1"/>
  <c r="P416" i="11"/>
  <c r="O416" i="11"/>
  <c r="N416" i="11"/>
  <c r="M416" i="11"/>
  <c r="L416" i="11"/>
  <c r="T415" i="11"/>
  <c r="S415" i="11"/>
  <c r="R415" i="11"/>
  <c r="Q415" i="11"/>
  <c r="N415" i="11"/>
  <c r="N414" i="11" s="1"/>
  <c r="M415" i="11"/>
  <c r="L415" i="11"/>
  <c r="J413" i="11"/>
  <c r="U401" i="11"/>
  <c r="T401" i="11"/>
  <c r="P401" i="11"/>
  <c r="O401" i="11"/>
  <c r="U400" i="11"/>
  <c r="T400" i="11"/>
  <c r="P400" i="11"/>
  <c r="O400" i="11"/>
  <c r="U399" i="11"/>
  <c r="T399" i="11"/>
  <c r="S399" i="11"/>
  <c r="R399" i="11"/>
  <c r="Q399" i="11"/>
  <c r="O399" i="11"/>
  <c r="N399" i="11"/>
  <c r="M399" i="11"/>
  <c r="P399" i="11" s="1"/>
  <c r="L399" i="11"/>
  <c r="U398" i="11"/>
  <c r="T398" i="11"/>
  <c r="P398" i="11"/>
  <c r="O398" i="11"/>
  <c r="U397" i="11"/>
  <c r="T397" i="11"/>
  <c r="P397" i="11"/>
  <c r="O397" i="11"/>
  <c r="U396" i="11"/>
  <c r="T396" i="11"/>
  <c r="S396" i="11"/>
  <c r="R396" i="11"/>
  <c r="Q396" i="11"/>
  <c r="O396" i="11"/>
  <c r="N396" i="11"/>
  <c r="M396" i="11"/>
  <c r="P396" i="11" s="1"/>
  <c r="L396" i="11"/>
  <c r="S395" i="11"/>
  <c r="R395" i="11"/>
  <c r="U395" i="11" s="1"/>
  <c r="Q395" i="11"/>
  <c r="T395" i="11" s="1"/>
  <c r="N395" i="11"/>
  <c r="M395" i="11"/>
  <c r="P395" i="11" s="1"/>
  <c r="L395" i="11"/>
  <c r="U394" i="11"/>
  <c r="S394" i="11"/>
  <c r="R394" i="11"/>
  <c r="R393" i="11" s="1"/>
  <c r="U393" i="11" s="1"/>
  <c r="Q394" i="11"/>
  <c r="T394" i="11" s="1"/>
  <c r="P394" i="11"/>
  <c r="O394" i="11"/>
  <c r="N394" i="11"/>
  <c r="M394" i="11"/>
  <c r="L394" i="11"/>
  <c r="S393" i="11"/>
  <c r="N393" i="11"/>
  <c r="M393" i="11"/>
  <c r="P393" i="11" s="1"/>
  <c r="J392" i="11"/>
  <c r="I392" i="11"/>
  <c r="K392" i="11" s="1"/>
  <c r="J389" i="11"/>
  <c r="I389" i="11"/>
  <c r="K389" i="11" s="1"/>
  <c r="K388" i="11"/>
  <c r="J388" i="11"/>
  <c r="J387" i="11"/>
  <c r="I387" i="11"/>
  <c r="K386" i="11"/>
  <c r="J386" i="11"/>
  <c r="U384" i="11"/>
  <c r="T384" i="11"/>
  <c r="P384" i="11"/>
  <c r="O384" i="11"/>
  <c r="U383" i="11"/>
  <c r="T383" i="11"/>
  <c r="P383" i="11"/>
  <c r="O383" i="11"/>
  <c r="U382" i="11"/>
  <c r="T382" i="11"/>
  <c r="S382" i="11"/>
  <c r="R382" i="11"/>
  <c r="Q382" i="11"/>
  <c r="P382" i="11"/>
  <c r="O382" i="11"/>
  <c r="N382" i="11"/>
  <c r="M382" i="11"/>
  <c r="L382" i="11"/>
  <c r="S381" i="11"/>
  <c r="R381" i="11"/>
  <c r="Q381" i="11"/>
  <c r="P381" i="11"/>
  <c r="O381" i="11"/>
  <c r="U380" i="11"/>
  <c r="T380" i="11"/>
  <c r="P380" i="11"/>
  <c r="O380" i="11"/>
  <c r="P379" i="11"/>
  <c r="N379" i="11"/>
  <c r="M379" i="11"/>
  <c r="L379" i="11"/>
  <c r="O379" i="11" s="1"/>
  <c r="P378" i="11"/>
  <c r="O378" i="11"/>
  <c r="N378" i="11"/>
  <c r="M378" i="11"/>
  <c r="L378" i="11"/>
  <c r="T377" i="11"/>
  <c r="S377" i="11"/>
  <c r="R377" i="11"/>
  <c r="U377" i="11" s="1"/>
  <c r="Q377" i="11"/>
  <c r="N377" i="11"/>
  <c r="M377" i="11"/>
  <c r="L377" i="11"/>
  <c r="O377" i="11" s="1"/>
  <c r="N376" i="11"/>
  <c r="L376" i="11"/>
  <c r="O376" i="11" s="1"/>
  <c r="D374" i="11"/>
  <c r="K373" i="11"/>
  <c r="J373" i="11"/>
  <c r="J372" i="11"/>
  <c r="J366" i="11" s="1"/>
  <c r="I372" i="11"/>
  <c r="I366" i="11" s="1"/>
  <c r="K371" i="11"/>
  <c r="J371" i="11"/>
  <c r="J370" i="11"/>
  <c r="I370" i="11"/>
  <c r="J369" i="11"/>
  <c r="I369" i="11"/>
  <c r="K368" i="11"/>
  <c r="J368" i="11"/>
  <c r="U365" i="11"/>
  <c r="T365" i="11"/>
  <c r="N365" i="11"/>
  <c r="N363" i="11" s="1"/>
  <c r="M365" i="11"/>
  <c r="P365" i="11" s="1"/>
  <c r="L365" i="11"/>
  <c r="O365" i="11" s="1"/>
  <c r="U364" i="11"/>
  <c r="T364" i="11"/>
  <c r="P364" i="11"/>
  <c r="O364" i="11"/>
  <c r="T363" i="11"/>
  <c r="S363" i="11"/>
  <c r="R363" i="11"/>
  <c r="U363" i="11" s="1"/>
  <c r="Q363" i="11"/>
  <c r="U362" i="11"/>
  <c r="T362" i="11"/>
  <c r="N362" i="11"/>
  <c r="N360" i="11" s="1"/>
  <c r="M362" i="11"/>
  <c r="M360" i="11" s="1"/>
  <c r="L362" i="11"/>
  <c r="U361" i="11"/>
  <c r="T361" i="11"/>
  <c r="P361" i="11"/>
  <c r="O361" i="11"/>
  <c r="T360" i="11"/>
  <c r="S360" i="11"/>
  <c r="R360" i="11"/>
  <c r="U360" i="11" s="1"/>
  <c r="Q360" i="11"/>
  <c r="U359" i="11"/>
  <c r="T359" i="11"/>
  <c r="S359" i="11"/>
  <c r="R359" i="11"/>
  <c r="Q359" i="11"/>
  <c r="T358" i="11"/>
  <c r="S358" i="11"/>
  <c r="R358" i="11"/>
  <c r="U358" i="11" s="1"/>
  <c r="Q358" i="11"/>
  <c r="Q357" i="11" s="1"/>
  <c r="T357" i="11" s="1"/>
  <c r="N358" i="11"/>
  <c r="M358" i="11"/>
  <c r="L358" i="11"/>
  <c r="O358" i="11" s="1"/>
  <c r="D355" i="11"/>
  <c r="J354" i="11"/>
  <c r="J353" i="11"/>
  <c r="D351" i="11"/>
  <c r="J350" i="11"/>
  <c r="J349" i="11"/>
  <c r="J348" i="11"/>
  <c r="J347" i="11"/>
  <c r="I347" i="11"/>
  <c r="J345" i="11"/>
  <c r="I345" i="11"/>
  <c r="I333" i="11" s="1"/>
  <c r="U342" i="11"/>
  <c r="T342" i="11"/>
  <c r="N342" i="11"/>
  <c r="N340" i="11" s="1"/>
  <c r="M342" i="11"/>
  <c r="L342" i="11"/>
  <c r="L340" i="11" s="1"/>
  <c r="O340" i="11" s="1"/>
  <c r="U341" i="11"/>
  <c r="T341" i="11"/>
  <c r="P341" i="11"/>
  <c r="O341" i="11"/>
  <c r="U340" i="11"/>
  <c r="S340" i="11"/>
  <c r="R340" i="11"/>
  <c r="Q340" i="11"/>
  <c r="T340" i="11" s="1"/>
  <c r="U339" i="11"/>
  <c r="T339" i="11"/>
  <c r="N339" i="11"/>
  <c r="M339" i="11"/>
  <c r="M337" i="11" s="1"/>
  <c r="L339" i="11"/>
  <c r="L337" i="11" s="1"/>
  <c r="U338" i="11"/>
  <c r="T338" i="11"/>
  <c r="P338" i="11"/>
  <c r="O338" i="11"/>
  <c r="U337" i="11"/>
  <c r="S337" i="11"/>
  <c r="R337" i="11"/>
  <c r="Q337" i="11"/>
  <c r="T337" i="11" s="1"/>
  <c r="S336" i="11"/>
  <c r="S334" i="11" s="1"/>
  <c r="R336" i="11"/>
  <c r="U336" i="11" s="1"/>
  <c r="Q336" i="11"/>
  <c r="T336" i="11" s="1"/>
  <c r="U335" i="11"/>
  <c r="T335" i="11"/>
  <c r="S335" i="11"/>
  <c r="R335" i="11"/>
  <c r="Q335" i="11"/>
  <c r="P335" i="11"/>
  <c r="O335" i="11"/>
  <c r="N335" i="11"/>
  <c r="M335" i="11"/>
  <c r="L335" i="11"/>
  <c r="R334" i="11"/>
  <c r="U334" i="11" s="1"/>
  <c r="I331" i="11"/>
  <c r="I320" i="11" s="1"/>
  <c r="K320" i="11" s="1"/>
  <c r="U329" i="11"/>
  <c r="T329" i="11"/>
  <c r="N329" i="11"/>
  <c r="N327" i="11" s="1"/>
  <c r="M329" i="11"/>
  <c r="M327" i="11" s="1"/>
  <c r="P327" i="11" s="1"/>
  <c r="L329" i="11"/>
  <c r="L327" i="11" s="1"/>
  <c r="O327" i="11" s="1"/>
  <c r="U328" i="11"/>
  <c r="T328" i="11"/>
  <c r="P328" i="11"/>
  <c r="O328" i="11"/>
  <c r="U327" i="11"/>
  <c r="S327" i="11"/>
  <c r="R327" i="11"/>
  <c r="Q327" i="11"/>
  <c r="T327" i="11" s="1"/>
  <c r="U326" i="11"/>
  <c r="T326" i="11"/>
  <c r="N326" i="11"/>
  <c r="N324" i="11" s="1"/>
  <c r="M326" i="11"/>
  <c r="P326" i="11" s="1"/>
  <c r="L326" i="11"/>
  <c r="O326" i="11" s="1"/>
  <c r="U325" i="11"/>
  <c r="T325" i="11"/>
  <c r="P325" i="11"/>
  <c r="O325" i="11"/>
  <c r="T324" i="11"/>
  <c r="S324" i="11"/>
  <c r="R324" i="11"/>
  <c r="U324" i="11" s="1"/>
  <c r="Q324" i="11"/>
  <c r="U323" i="11"/>
  <c r="S323" i="11"/>
  <c r="R323" i="11"/>
  <c r="Q323" i="11"/>
  <c r="T323" i="11" s="1"/>
  <c r="T322" i="11"/>
  <c r="S322" i="11"/>
  <c r="R322" i="11"/>
  <c r="U322" i="11" s="1"/>
  <c r="Q322" i="11"/>
  <c r="P322" i="11"/>
  <c r="N322" i="11"/>
  <c r="M322" i="11"/>
  <c r="L322" i="11"/>
  <c r="O322" i="11" s="1"/>
  <c r="S321" i="11"/>
  <c r="Q321" i="11"/>
  <c r="T321" i="11" s="1"/>
  <c r="J320" i="11"/>
  <c r="I315" i="11"/>
  <c r="K315" i="11" s="1"/>
  <c r="U312" i="11"/>
  <c r="T312" i="11"/>
  <c r="N312" i="11"/>
  <c r="N310" i="11" s="1"/>
  <c r="M312" i="11"/>
  <c r="M310" i="11" s="1"/>
  <c r="P310" i="11" s="1"/>
  <c r="L312" i="11"/>
  <c r="O312" i="11" s="1"/>
  <c r="U311" i="11"/>
  <c r="T311" i="11"/>
  <c r="P311" i="11"/>
  <c r="O311" i="11"/>
  <c r="T310" i="11"/>
  <c r="S310" i="11"/>
  <c r="R310" i="11"/>
  <c r="U310" i="11" s="1"/>
  <c r="Q310" i="11"/>
  <c r="S309" i="11"/>
  <c r="R309" i="11"/>
  <c r="R307" i="11" s="1"/>
  <c r="Q309" i="11"/>
  <c r="Q307" i="11" s="1"/>
  <c r="N309" i="11"/>
  <c r="M309" i="11"/>
  <c r="P309" i="11" s="1"/>
  <c r="L309" i="11"/>
  <c r="U308" i="11"/>
  <c r="T308" i="11"/>
  <c r="P308" i="11"/>
  <c r="O308" i="11"/>
  <c r="U305" i="11"/>
  <c r="S305" i="11"/>
  <c r="R305" i="11"/>
  <c r="Q305" i="11"/>
  <c r="T305" i="11" s="1"/>
  <c r="P305" i="11"/>
  <c r="O305" i="11"/>
  <c r="N305" i="11"/>
  <c r="M305" i="11"/>
  <c r="L305" i="11"/>
  <c r="J303" i="11"/>
  <c r="I297" i="11"/>
  <c r="K297" i="11" s="1"/>
  <c r="I296" i="11"/>
  <c r="K296" i="11" s="1"/>
  <c r="J294" i="11"/>
  <c r="J281" i="11" s="1"/>
  <c r="I294" i="11"/>
  <c r="K294" i="11" s="1"/>
  <c r="I293" i="11"/>
  <c r="U291" i="11"/>
  <c r="T291" i="11"/>
  <c r="N291" i="11"/>
  <c r="N289" i="11" s="1"/>
  <c r="M291" i="11"/>
  <c r="P291" i="11" s="1"/>
  <c r="L291" i="11"/>
  <c r="O291" i="11" s="1"/>
  <c r="U290" i="11"/>
  <c r="T290" i="11"/>
  <c r="P290" i="11"/>
  <c r="O290" i="11"/>
  <c r="U289" i="11"/>
  <c r="S289" i="11"/>
  <c r="R289" i="11"/>
  <c r="Q289" i="11"/>
  <c r="T289" i="11" s="1"/>
  <c r="U288" i="11"/>
  <c r="T288" i="11"/>
  <c r="N288" i="11"/>
  <c r="M288" i="11"/>
  <c r="M286" i="11" s="1"/>
  <c r="P286" i="11" s="1"/>
  <c r="L288" i="11"/>
  <c r="U287" i="11"/>
  <c r="T287" i="11"/>
  <c r="P287" i="11"/>
  <c r="O287" i="11"/>
  <c r="T286" i="11"/>
  <c r="S286" i="11"/>
  <c r="R286" i="11"/>
  <c r="U286" i="11" s="1"/>
  <c r="Q286" i="11"/>
  <c r="S285" i="11"/>
  <c r="S283" i="11" s="1"/>
  <c r="R285" i="11"/>
  <c r="U285" i="11" s="1"/>
  <c r="Q285" i="11"/>
  <c r="T285" i="11" s="1"/>
  <c r="T284" i="11"/>
  <c r="S284" i="11"/>
  <c r="R284" i="11"/>
  <c r="Q284" i="11"/>
  <c r="P284" i="11"/>
  <c r="N284" i="11"/>
  <c r="M284" i="11"/>
  <c r="L284" i="11"/>
  <c r="J282" i="11"/>
  <c r="I277" i="11"/>
  <c r="U275" i="11"/>
  <c r="T275" i="11"/>
  <c r="N275" i="11"/>
  <c r="N273" i="11" s="1"/>
  <c r="M275" i="11"/>
  <c r="P275" i="11" s="1"/>
  <c r="L275" i="11"/>
  <c r="O275" i="11" s="1"/>
  <c r="U274" i="11"/>
  <c r="T274" i="11"/>
  <c r="P274" i="11"/>
  <c r="O274" i="11"/>
  <c r="T273" i="11"/>
  <c r="S273" i="11"/>
  <c r="R273" i="11"/>
  <c r="U273" i="11" s="1"/>
  <c r="Q273" i="11"/>
  <c r="S272" i="11"/>
  <c r="S270" i="11" s="1"/>
  <c r="R272" i="11"/>
  <c r="R270" i="11" s="1"/>
  <c r="Q272" i="11"/>
  <c r="Q270" i="11" s="1"/>
  <c r="N272" i="11"/>
  <c r="M272" i="11"/>
  <c r="M270" i="11" s="1"/>
  <c r="L272" i="11"/>
  <c r="L270" i="11" s="1"/>
  <c r="O270" i="11" s="1"/>
  <c r="U271" i="11"/>
  <c r="T271" i="11"/>
  <c r="P271" i="11"/>
  <c r="O271" i="11"/>
  <c r="U268" i="11"/>
  <c r="T268" i="11"/>
  <c r="S268" i="11"/>
  <c r="R268" i="11"/>
  <c r="Q268" i="11"/>
  <c r="P268" i="11"/>
  <c r="O268" i="11"/>
  <c r="N268" i="11"/>
  <c r="M268" i="11"/>
  <c r="L268" i="11"/>
  <c r="J266" i="11"/>
  <c r="K264" i="11"/>
  <c r="K263" i="11"/>
  <c r="I261" i="11"/>
  <c r="K261" i="11" s="1"/>
  <c r="L259" i="11"/>
  <c r="L258" i="11"/>
  <c r="L257" i="11"/>
  <c r="L256" i="11"/>
  <c r="P255" i="11"/>
  <c r="N255" i="11"/>
  <c r="J254" i="11"/>
  <c r="J232" i="11" s="1"/>
  <c r="J186" i="11" s="1"/>
  <c r="K253" i="11"/>
  <c r="K252" i="11"/>
  <c r="I250" i="11"/>
  <c r="K250" i="11" s="1"/>
  <c r="L248" i="11"/>
  <c r="L247" i="11"/>
  <c r="L246" i="11"/>
  <c r="L245" i="11"/>
  <c r="P244" i="11"/>
  <c r="N244" i="11"/>
  <c r="N233" i="11" s="1"/>
  <c r="J243" i="11"/>
  <c r="J242" i="11"/>
  <c r="I242" i="11"/>
  <c r="K242" i="11" s="1"/>
  <c r="K241" i="11"/>
  <c r="J241" i="11"/>
  <c r="I241" i="11"/>
  <c r="J239" i="11"/>
  <c r="N237" i="11"/>
  <c r="N236" i="11"/>
  <c r="N235" i="11"/>
  <c r="N234" i="11"/>
  <c r="I231" i="11"/>
  <c r="K231" i="11" s="1"/>
  <c r="I230" i="11"/>
  <c r="K230" i="11" s="1"/>
  <c r="I229" i="11"/>
  <c r="K229" i="11" s="1"/>
  <c r="L226" i="11"/>
  <c r="L225" i="11"/>
  <c r="L224" i="11"/>
  <c r="P223" i="11"/>
  <c r="N223" i="11"/>
  <c r="J222" i="11"/>
  <c r="I221" i="11"/>
  <c r="K221" i="11" s="1"/>
  <c r="I220" i="11"/>
  <c r="K220" i="11" s="1"/>
  <c r="L218" i="11"/>
  <c r="L217" i="11"/>
  <c r="L216" i="11"/>
  <c r="P215" i="11"/>
  <c r="N215" i="11"/>
  <c r="J214" i="11"/>
  <c r="I213" i="11"/>
  <c r="K213" i="11" s="1"/>
  <c r="I212" i="11"/>
  <c r="K212" i="11" s="1"/>
  <c r="I210" i="11"/>
  <c r="I203" i="11" s="1"/>
  <c r="K203" i="11" s="1"/>
  <c r="L208" i="11"/>
  <c r="L207" i="11"/>
  <c r="L206" i="11"/>
  <c r="L205" i="11"/>
  <c r="P204" i="11"/>
  <c r="N204" i="11"/>
  <c r="J203" i="11"/>
  <c r="J200" i="11"/>
  <c r="I199" i="11"/>
  <c r="P197" i="11"/>
  <c r="L197" i="11"/>
  <c r="O197" i="11" s="1"/>
  <c r="J196" i="11"/>
  <c r="U195" i="11"/>
  <c r="T195" i="11"/>
  <c r="N195" i="11"/>
  <c r="N193" i="11" s="1"/>
  <c r="M195" i="11"/>
  <c r="M193" i="11" s="1"/>
  <c r="P193" i="11" s="1"/>
  <c r="L195" i="11"/>
  <c r="O195" i="11" s="1"/>
  <c r="U194" i="11"/>
  <c r="T194" i="11"/>
  <c r="P194" i="11"/>
  <c r="O194" i="11"/>
  <c r="U193" i="11"/>
  <c r="S193" i="11"/>
  <c r="R193" i="11"/>
  <c r="Q193" i="11"/>
  <c r="T193" i="11" s="1"/>
  <c r="S192" i="11"/>
  <c r="R192" i="11"/>
  <c r="R190" i="11" s="1"/>
  <c r="Q192" i="11"/>
  <c r="Q190" i="11" s="1"/>
  <c r="N192" i="11"/>
  <c r="M192" i="11"/>
  <c r="L192" i="11"/>
  <c r="L190" i="11" s="1"/>
  <c r="U191" i="11"/>
  <c r="T191" i="11"/>
  <c r="P191" i="11"/>
  <c r="O191" i="11"/>
  <c r="U188" i="11"/>
  <c r="S188" i="11"/>
  <c r="R188" i="11"/>
  <c r="Q188" i="11"/>
  <c r="T188" i="11" s="1"/>
  <c r="O188" i="11"/>
  <c r="N188" i="11"/>
  <c r="M188" i="11"/>
  <c r="P188" i="11" s="1"/>
  <c r="L188" i="11"/>
  <c r="K185" i="11"/>
  <c r="I184" i="11"/>
  <c r="K184" i="11" s="1"/>
  <c r="U182" i="11"/>
  <c r="T182" i="11"/>
  <c r="N182" i="11"/>
  <c r="N180" i="11" s="1"/>
  <c r="M182" i="11"/>
  <c r="M180" i="11" s="1"/>
  <c r="P180" i="11" s="1"/>
  <c r="L182" i="11"/>
  <c r="U181" i="11"/>
  <c r="T181" i="11"/>
  <c r="P181" i="11"/>
  <c r="O181" i="11"/>
  <c r="T180" i="11"/>
  <c r="S180" i="11"/>
  <c r="R180" i="11"/>
  <c r="U180" i="11" s="1"/>
  <c r="Q180" i="11"/>
  <c r="S179" i="11"/>
  <c r="S177" i="11" s="1"/>
  <c r="R179" i="11"/>
  <c r="U179" i="11" s="1"/>
  <c r="Q179" i="11"/>
  <c r="T179" i="11" s="1"/>
  <c r="N179" i="11"/>
  <c r="N177" i="11" s="1"/>
  <c r="M179" i="11"/>
  <c r="M177" i="11" s="1"/>
  <c r="L179" i="11"/>
  <c r="L177" i="11" s="1"/>
  <c r="U178" i="11"/>
  <c r="T178" i="11"/>
  <c r="P178" i="11"/>
  <c r="O178" i="11"/>
  <c r="T175" i="11"/>
  <c r="S175" i="11"/>
  <c r="R175" i="11"/>
  <c r="Q175" i="11"/>
  <c r="N175" i="11"/>
  <c r="M175" i="11"/>
  <c r="L175" i="11"/>
  <c r="O175" i="11" s="1"/>
  <c r="J173" i="11"/>
  <c r="I170" i="11"/>
  <c r="I157" i="11" s="1"/>
  <c r="K157" i="11" s="1"/>
  <c r="I169" i="11"/>
  <c r="K169" i="11" s="1"/>
  <c r="I168" i="11"/>
  <c r="K168" i="11" s="1"/>
  <c r="U166" i="11"/>
  <c r="T166" i="11"/>
  <c r="N166" i="11"/>
  <c r="N164" i="11" s="1"/>
  <c r="M166" i="11"/>
  <c r="M164" i="11" s="1"/>
  <c r="P164" i="11" s="1"/>
  <c r="L166" i="11"/>
  <c r="O166" i="11" s="1"/>
  <c r="U165" i="11"/>
  <c r="T165" i="11"/>
  <c r="P165" i="11"/>
  <c r="O165" i="11"/>
  <c r="U164" i="11"/>
  <c r="S164" i="11"/>
  <c r="R164" i="11"/>
  <c r="Q164" i="11"/>
  <c r="T164" i="11" s="1"/>
  <c r="S163" i="11"/>
  <c r="S161" i="11" s="1"/>
  <c r="R163" i="11"/>
  <c r="U163" i="11" s="1"/>
  <c r="Q163" i="11"/>
  <c r="N163" i="11"/>
  <c r="M163" i="11"/>
  <c r="M161" i="11" s="1"/>
  <c r="P161" i="11" s="1"/>
  <c r="L163" i="11"/>
  <c r="O163" i="11" s="1"/>
  <c r="U162" i="11"/>
  <c r="T162" i="11"/>
  <c r="P162" i="11"/>
  <c r="O162" i="11"/>
  <c r="U159" i="11"/>
  <c r="S159" i="11"/>
  <c r="R159" i="11"/>
  <c r="Q159" i="11"/>
  <c r="T159" i="11" s="1"/>
  <c r="O159" i="11"/>
  <c r="N159" i="11"/>
  <c r="M159" i="11"/>
  <c r="L159" i="11"/>
  <c r="J157" i="11"/>
  <c r="I155" i="11"/>
  <c r="K155" i="11" s="1"/>
  <c r="I154" i="11"/>
  <c r="K154" i="11" s="1"/>
  <c r="I153" i="11"/>
  <c r="K153" i="11" s="1"/>
  <c r="I152" i="11"/>
  <c r="K152" i="11" s="1"/>
  <c r="I151" i="11"/>
  <c r="K151" i="11" s="1"/>
  <c r="U148" i="11"/>
  <c r="T148" i="11"/>
  <c r="N148" i="11"/>
  <c r="N146" i="11" s="1"/>
  <c r="M148" i="11"/>
  <c r="L148" i="11"/>
  <c r="U147" i="11"/>
  <c r="T147" i="11"/>
  <c r="P147" i="11"/>
  <c r="O147" i="11"/>
  <c r="U146" i="11"/>
  <c r="S146" i="11"/>
  <c r="R146" i="11"/>
  <c r="Q146" i="11"/>
  <c r="T146" i="11" s="1"/>
  <c r="S145" i="11"/>
  <c r="S143" i="11" s="1"/>
  <c r="R145" i="11"/>
  <c r="R143" i="11" s="1"/>
  <c r="U143" i="11" s="1"/>
  <c r="Q145" i="11"/>
  <c r="N145" i="11"/>
  <c r="M145" i="11"/>
  <c r="L145" i="11"/>
  <c r="L143" i="11" s="1"/>
  <c r="O143" i="11" s="1"/>
  <c r="U144" i="11"/>
  <c r="T144" i="11"/>
  <c r="P144" i="11"/>
  <c r="O144" i="11"/>
  <c r="U141" i="11"/>
  <c r="S141" i="11"/>
  <c r="R141" i="11"/>
  <c r="Q141" i="11"/>
  <c r="O141" i="11"/>
  <c r="N141" i="11"/>
  <c r="M141" i="11"/>
  <c r="P141" i="11" s="1"/>
  <c r="L141" i="11"/>
  <c r="J139" i="11"/>
  <c r="J138" i="11"/>
  <c r="J137" i="11"/>
  <c r="I131" i="11"/>
  <c r="K131" i="11" s="1"/>
  <c r="I130" i="11"/>
  <c r="K130" i="11" s="1"/>
  <c r="I129" i="11"/>
  <c r="K129" i="11" s="1"/>
  <c r="I128" i="11"/>
  <c r="K128" i="11" s="1"/>
  <c r="U126" i="11"/>
  <c r="T126" i="11"/>
  <c r="N126" i="11"/>
  <c r="N124" i="11" s="1"/>
  <c r="M126" i="11"/>
  <c r="P126" i="11" s="1"/>
  <c r="L126" i="11"/>
  <c r="L124" i="11" s="1"/>
  <c r="O124" i="11" s="1"/>
  <c r="U125" i="11"/>
  <c r="T125" i="11"/>
  <c r="P125" i="11"/>
  <c r="O125" i="11"/>
  <c r="U124" i="11"/>
  <c r="S124" i="11"/>
  <c r="R124" i="11"/>
  <c r="Q124" i="11"/>
  <c r="T124" i="11" s="1"/>
  <c r="S123" i="11"/>
  <c r="S121" i="11" s="1"/>
  <c r="R123" i="11"/>
  <c r="R121" i="11" s="1"/>
  <c r="Q123" i="11"/>
  <c r="Q121" i="11" s="1"/>
  <c r="N123" i="11"/>
  <c r="N121" i="11" s="1"/>
  <c r="M123" i="11"/>
  <c r="P123" i="11" s="1"/>
  <c r="L123" i="11"/>
  <c r="L121" i="11" s="1"/>
  <c r="O121" i="11" s="1"/>
  <c r="U122" i="11"/>
  <c r="T122" i="11"/>
  <c r="P122" i="11"/>
  <c r="O122" i="11"/>
  <c r="U119" i="11"/>
  <c r="S119" i="11"/>
  <c r="R119" i="11"/>
  <c r="Q119" i="11"/>
  <c r="T119" i="11" s="1"/>
  <c r="O119" i="11"/>
  <c r="N119" i="11"/>
  <c r="M119" i="11"/>
  <c r="P119" i="11" s="1"/>
  <c r="L119" i="11"/>
  <c r="J117" i="11"/>
  <c r="I115" i="11"/>
  <c r="K115" i="11" s="1"/>
  <c r="I110" i="11"/>
  <c r="K110" i="11" s="1"/>
  <c r="I109" i="11"/>
  <c r="U103" i="11"/>
  <c r="T103" i="11"/>
  <c r="N103" i="11"/>
  <c r="N101" i="11" s="1"/>
  <c r="M103" i="11"/>
  <c r="P103" i="11" s="1"/>
  <c r="L103" i="11"/>
  <c r="L101" i="11" s="1"/>
  <c r="O101" i="11" s="1"/>
  <c r="U102" i="11"/>
  <c r="T102" i="11"/>
  <c r="P102" i="11"/>
  <c r="O102" i="11"/>
  <c r="U101" i="11"/>
  <c r="S101" i="11"/>
  <c r="R101" i="11"/>
  <c r="Q101" i="11"/>
  <c r="T101" i="11" s="1"/>
  <c r="S100" i="11"/>
  <c r="S97" i="11" s="1"/>
  <c r="R100" i="11"/>
  <c r="Q100" i="11"/>
  <c r="N100" i="11"/>
  <c r="N98" i="11" s="1"/>
  <c r="M100" i="11"/>
  <c r="P100" i="11" s="1"/>
  <c r="L100" i="11"/>
  <c r="L98" i="11" s="1"/>
  <c r="O98" i="11" s="1"/>
  <c r="U99" i="11"/>
  <c r="T99" i="11"/>
  <c r="P99" i="11"/>
  <c r="O99" i="11"/>
  <c r="U96" i="11"/>
  <c r="S96" i="11"/>
  <c r="R96" i="11"/>
  <c r="Q96" i="11"/>
  <c r="T96" i="11" s="1"/>
  <c r="O96" i="11"/>
  <c r="N96" i="11"/>
  <c r="M96" i="11"/>
  <c r="P96" i="11" s="1"/>
  <c r="L96" i="11"/>
  <c r="J94" i="11"/>
  <c r="J93" i="11"/>
  <c r="I91" i="11"/>
  <c r="K91" i="11" s="1"/>
  <c r="I90" i="11"/>
  <c r="K90" i="11" s="1"/>
  <c r="I89" i="11"/>
  <c r="K89" i="11" s="1"/>
  <c r="I88" i="11"/>
  <c r="K88" i="11" s="1"/>
  <c r="I87" i="11"/>
  <c r="K87" i="11" s="1"/>
  <c r="I86" i="11"/>
  <c r="K86" i="11" s="1"/>
  <c r="I85" i="11"/>
  <c r="K85" i="11" s="1"/>
  <c r="J84" i="11"/>
  <c r="J83" i="11"/>
  <c r="J71" i="11" s="1"/>
  <c r="U81" i="11"/>
  <c r="T81" i="11"/>
  <c r="N81" i="11"/>
  <c r="N79" i="11" s="1"/>
  <c r="M81" i="11"/>
  <c r="M79" i="11" s="1"/>
  <c r="P79" i="11" s="1"/>
  <c r="L81" i="11"/>
  <c r="U80" i="11"/>
  <c r="T80" i="11"/>
  <c r="P80" i="11"/>
  <c r="O80" i="11"/>
  <c r="T79" i="11"/>
  <c r="S79" i="11"/>
  <c r="R79" i="11"/>
  <c r="U79" i="11" s="1"/>
  <c r="Q79" i="11"/>
  <c r="S78" i="11"/>
  <c r="R78" i="11"/>
  <c r="U78" i="11" s="1"/>
  <c r="Q78" i="11"/>
  <c r="Q76" i="11" s="1"/>
  <c r="T76" i="11" s="1"/>
  <c r="N78" i="11"/>
  <c r="N76" i="11" s="1"/>
  <c r="M78" i="11"/>
  <c r="M76" i="11" s="1"/>
  <c r="P76" i="11" s="1"/>
  <c r="L78" i="11"/>
  <c r="O78" i="11" s="1"/>
  <c r="U77" i="11"/>
  <c r="T77" i="11"/>
  <c r="P77" i="11"/>
  <c r="O77" i="11"/>
  <c r="T74" i="11"/>
  <c r="S74" i="11"/>
  <c r="R74" i="11"/>
  <c r="U74" i="11" s="1"/>
  <c r="Q74" i="11"/>
  <c r="P74" i="11"/>
  <c r="N74" i="11"/>
  <c r="M74" i="11"/>
  <c r="L74" i="11"/>
  <c r="O74" i="11" s="1"/>
  <c r="J72" i="11"/>
  <c r="U68" i="11"/>
  <c r="T68" i="11"/>
  <c r="N68" i="11"/>
  <c r="N66" i="11" s="1"/>
  <c r="M68" i="11"/>
  <c r="M66" i="11" s="1"/>
  <c r="P66" i="11" s="1"/>
  <c r="L68" i="11"/>
  <c r="L66" i="11" s="1"/>
  <c r="O66" i="11" s="1"/>
  <c r="U67" i="11"/>
  <c r="T67" i="11"/>
  <c r="P67" i="11"/>
  <c r="O67" i="11"/>
  <c r="S66" i="11"/>
  <c r="R66" i="11"/>
  <c r="U66" i="11" s="1"/>
  <c r="Q66" i="11"/>
  <c r="T66" i="11" s="1"/>
  <c r="U65" i="11"/>
  <c r="T65" i="11"/>
  <c r="N65" i="11"/>
  <c r="N63" i="11" s="1"/>
  <c r="M65" i="11"/>
  <c r="M63" i="11" s="1"/>
  <c r="L65" i="11"/>
  <c r="L62" i="11" s="1"/>
  <c r="U64" i="11"/>
  <c r="T64" i="11"/>
  <c r="P64" i="11"/>
  <c r="O64" i="11"/>
  <c r="T63" i="11"/>
  <c r="S63" i="11"/>
  <c r="R63" i="11"/>
  <c r="U63" i="11" s="1"/>
  <c r="Q63" i="11"/>
  <c r="T62" i="11"/>
  <c r="S62" i="11"/>
  <c r="S60" i="11" s="1"/>
  <c r="R62" i="11"/>
  <c r="U62" i="11" s="1"/>
  <c r="Q62" i="11"/>
  <c r="T61" i="11"/>
  <c r="S61" i="11"/>
  <c r="R61" i="11"/>
  <c r="U61" i="11" s="1"/>
  <c r="Q61" i="11"/>
  <c r="Q60" i="11" s="1"/>
  <c r="P61" i="11"/>
  <c r="N61" i="11"/>
  <c r="M61" i="11"/>
  <c r="L61" i="11"/>
  <c r="O61" i="11" s="1"/>
  <c r="T60" i="11"/>
  <c r="U53" i="11"/>
  <c r="T53" i="11"/>
  <c r="N53" i="11"/>
  <c r="N51" i="11" s="1"/>
  <c r="M53" i="11"/>
  <c r="M51" i="11" s="1"/>
  <c r="P51" i="11" s="1"/>
  <c r="L53" i="11"/>
  <c r="O53" i="11" s="1"/>
  <c r="U52" i="11"/>
  <c r="T52" i="11"/>
  <c r="P52" i="11"/>
  <c r="O52" i="11"/>
  <c r="S51" i="11"/>
  <c r="R51" i="11"/>
  <c r="U51" i="11" s="1"/>
  <c r="Q51" i="11"/>
  <c r="T51" i="11" s="1"/>
  <c r="U50" i="11"/>
  <c r="T50" i="11"/>
  <c r="N50" i="11"/>
  <c r="M50" i="11"/>
  <c r="M48" i="11" s="1"/>
  <c r="L50" i="11"/>
  <c r="L48" i="11" s="1"/>
  <c r="U49" i="11"/>
  <c r="T49" i="11"/>
  <c r="P49" i="11"/>
  <c r="O49" i="11"/>
  <c r="T48" i="11"/>
  <c r="S48" i="11"/>
  <c r="R48" i="11"/>
  <c r="U48" i="11" s="1"/>
  <c r="Q48" i="11"/>
  <c r="T47" i="11"/>
  <c r="S47" i="11"/>
  <c r="S45" i="11" s="1"/>
  <c r="R47" i="11"/>
  <c r="U47" i="11" s="1"/>
  <c r="Q47" i="11"/>
  <c r="T46" i="11"/>
  <c r="S46" i="11"/>
  <c r="R46" i="11"/>
  <c r="U46" i="11" s="1"/>
  <c r="Q46" i="11"/>
  <c r="Q45" i="11" s="1"/>
  <c r="P46" i="11"/>
  <c r="N46" i="11"/>
  <c r="M46" i="11"/>
  <c r="L46" i="11"/>
  <c r="O46" i="11" s="1"/>
  <c r="T45" i="11"/>
  <c r="U27" i="11"/>
  <c r="S27" i="11"/>
  <c r="R27" i="11"/>
  <c r="R25" i="11" s="1"/>
  <c r="Q27" i="11"/>
  <c r="T27" i="11" s="1"/>
  <c r="U26" i="11"/>
  <c r="S26" i="11"/>
  <c r="R26" i="11"/>
  <c r="Q26" i="11"/>
  <c r="T26" i="11" s="1"/>
  <c r="O26" i="11"/>
  <c r="N26" i="11"/>
  <c r="M26" i="11"/>
  <c r="P26" i="11" s="1"/>
  <c r="L26" i="11"/>
  <c r="U25" i="11"/>
  <c r="S25" i="11"/>
  <c r="U23" i="11"/>
  <c r="S23" i="11"/>
  <c r="R23" i="11"/>
  <c r="Q23" i="11"/>
  <c r="T23" i="11" s="1"/>
  <c r="P23" i="11"/>
  <c r="O23" i="11"/>
  <c r="N23" i="11"/>
  <c r="M23" i="11"/>
  <c r="L23" i="11"/>
  <c r="U20" i="11"/>
  <c r="S20" i="11"/>
  <c r="R20" i="11"/>
  <c r="Q20" i="11"/>
  <c r="T20" i="11" s="1"/>
  <c r="O20" i="11"/>
  <c r="N20" i="11"/>
  <c r="M20" i="11"/>
  <c r="L20" i="11"/>
  <c r="A790" i="10"/>
  <c r="A789" i="10"/>
  <c r="J786" i="10"/>
  <c r="I786" i="10"/>
  <c r="J785" i="10"/>
  <c r="I785" i="10"/>
  <c r="J784" i="10"/>
  <c r="I784" i="10"/>
  <c r="K784" i="10" s="1"/>
  <c r="J783" i="10"/>
  <c r="I783" i="10"/>
  <c r="K783" i="10" s="1"/>
  <c r="J782" i="10"/>
  <c r="I782" i="10"/>
  <c r="J781" i="10"/>
  <c r="I781" i="10"/>
  <c r="J780" i="10"/>
  <c r="I780" i="10"/>
  <c r="J779" i="10"/>
  <c r="I779" i="10"/>
  <c r="H778" i="10"/>
  <c r="I777" i="10"/>
  <c r="I776" i="10"/>
  <c r="I775" i="10"/>
  <c r="I760" i="10" s="1"/>
  <c r="K760" i="10" s="1"/>
  <c r="I773" i="10"/>
  <c r="K773" i="10" s="1"/>
  <c r="I771" i="10"/>
  <c r="K771" i="10" s="1"/>
  <c r="U769" i="10"/>
  <c r="T769" i="10"/>
  <c r="P769" i="10"/>
  <c r="O769" i="10"/>
  <c r="U768" i="10"/>
  <c r="T768" i="10"/>
  <c r="P768" i="10"/>
  <c r="O768" i="10"/>
  <c r="U767" i="10"/>
  <c r="S767" i="10"/>
  <c r="R767" i="10"/>
  <c r="Q767" i="10"/>
  <c r="T767" i="10" s="1"/>
  <c r="O767" i="10"/>
  <c r="N767" i="10"/>
  <c r="M767" i="10"/>
  <c r="P767" i="10" s="1"/>
  <c r="L767" i="10"/>
  <c r="S766" i="10"/>
  <c r="S763" i="10" s="1"/>
  <c r="R766" i="10"/>
  <c r="R764" i="10" s="1"/>
  <c r="Q766" i="10"/>
  <c r="Q764" i="10" s="1"/>
  <c r="P766" i="10"/>
  <c r="O766" i="10"/>
  <c r="U765" i="10"/>
  <c r="T765" i="10"/>
  <c r="P765" i="10"/>
  <c r="O765" i="10"/>
  <c r="P764" i="10"/>
  <c r="N764" i="10"/>
  <c r="M764" i="10"/>
  <c r="L764" i="10"/>
  <c r="O764" i="10" s="1"/>
  <c r="P763" i="10"/>
  <c r="N763" i="10"/>
  <c r="M763" i="10"/>
  <c r="L763" i="10"/>
  <c r="O763" i="10" s="1"/>
  <c r="T762" i="10"/>
  <c r="S762" i="10"/>
  <c r="R762" i="10"/>
  <c r="U762" i="10" s="1"/>
  <c r="Q762" i="10"/>
  <c r="P762" i="10"/>
  <c r="N762" i="10"/>
  <c r="M762" i="10"/>
  <c r="M761" i="10" s="1"/>
  <c r="P761" i="10" s="1"/>
  <c r="L762" i="10"/>
  <c r="O762" i="10" s="1"/>
  <c r="N761" i="10"/>
  <c r="J760" i="10"/>
  <c r="J759" i="10"/>
  <c r="I756" i="10"/>
  <c r="K756" i="10" s="1"/>
  <c r="I753" i="10"/>
  <c r="K753" i="10" s="1"/>
  <c r="I750" i="10"/>
  <c r="K750" i="10" s="1"/>
  <c r="I747" i="10"/>
  <c r="K747" i="10" s="1"/>
  <c r="I745" i="10"/>
  <c r="K745" i="10" s="1"/>
  <c r="I743" i="10"/>
  <c r="K743" i="10" s="1"/>
  <c r="I741" i="10"/>
  <c r="K741" i="10" s="1"/>
  <c r="U737" i="10"/>
  <c r="T737" i="10"/>
  <c r="P737" i="10"/>
  <c r="O737" i="10"/>
  <c r="U736" i="10"/>
  <c r="T736" i="10"/>
  <c r="P736" i="10"/>
  <c r="O736" i="10"/>
  <c r="T735" i="10"/>
  <c r="S735" i="10"/>
  <c r="R735" i="10"/>
  <c r="U735" i="10" s="1"/>
  <c r="Q735" i="10"/>
  <c r="P735" i="10"/>
  <c r="N735" i="10"/>
  <c r="M735" i="10"/>
  <c r="L735" i="10"/>
  <c r="O735" i="10" s="1"/>
  <c r="S734" i="10"/>
  <c r="S731" i="10" s="1"/>
  <c r="S729" i="10" s="1"/>
  <c r="R734" i="10"/>
  <c r="Q734" i="10"/>
  <c r="P734" i="10"/>
  <c r="O734" i="10"/>
  <c r="U733" i="10"/>
  <c r="T733" i="10"/>
  <c r="P733" i="10"/>
  <c r="O733" i="10"/>
  <c r="O732" i="10"/>
  <c r="N732" i="10"/>
  <c r="M732" i="10"/>
  <c r="P732" i="10" s="1"/>
  <c r="L732" i="10"/>
  <c r="O731" i="10"/>
  <c r="N731" i="10"/>
  <c r="M731" i="10"/>
  <c r="P731" i="10" s="1"/>
  <c r="L731" i="10"/>
  <c r="U730" i="10"/>
  <c r="S730" i="10"/>
  <c r="R730" i="10"/>
  <c r="Q730" i="10"/>
  <c r="T730" i="10" s="1"/>
  <c r="O730" i="10"/>
  <c r="N730" i="10"/>
  <c r="N729" i="10" s="1"/>
  <c r="M730" i="10"/>
  <c r="P730" i="10" s="1"/>
  <c r="L730" i="10"/>
  <c r="L729" i="10" s="1"/>
  <c r="O729" i="10" s="1"/>
  <c r="M729" i="10"/>
  <c r="P729" i="10" s="1"/>
  <c r="J728" i="10"/>
  <c r="I728" i="10"/>
  <c r="K728" i="10" s="1"/>
  <c r="J727" i="10"/>
  <c r="I727" i="10"/>
  <c r="U723" i="10"/>
  <c r="T723" i="10"/>
  <c r="P723" i="10"/>
  <c r="O723" i="10"/>
  <c r="U722" i="10"/>
  <c r="T722" i="10"/>
  <c r="P722" i="10"/>
  <c r="O722" i="10"/>
  <c r="U721" i="10"/>
  <c r="S721" i="10"/>
  <c r="R721" i="10"/>
  <c r="Q721" i="10"/>
  <c r="T721" i="10" s="1"/>
  <c r="O721" i="10"/>
  <c r="N721" i="10"/>
  <c r="M721" i="10"/>
  <c r="P721" i="10" s="1"/>
  <c r="L721" i="10"/>
  <c r="U720" i="10"/>
  <c r="T720" i="10"/>
  <c r="P720" i="10"/>
  <c r="O720" i="10"/>
  <c r="U719" i="10"/>
  <c r="T719" i="10"/>
  <c r="P719" i="10"/>
  <c r="O719" i="10"/>
  <c r="U718" i="10"/>
  <c r="S718" i="10"/>
  <c r="R718" i="10"/>
  <c r="Q718" i="10"/>
  <c r="T718" i="10" s="1"/>
  <c r="O718" i="10"/>
  <c r="N718" i="10"/>
  <c r="M718" i="10"/>
  <c r="P718" i="10" s="1"/>
  <c r="L718" i="10"/>
  <c r="U717" i="10"/>
  <c r="S717" i="10"/>
  <c r="R717" i="10"/>
  <c r="Q717" i="10"/>
  <c r="T717" i="10" s="1"/>
  <c r="O717" i="10"/>
  <c r="N717" i="10"/>
  <c r="M717" i="10"/>
  <c r="P717" i="10" s="1"/>
  <c r="L717" i="10"/>
  <c r="U716" i="10"/>
  <c r="S716" i="10"/>
  <c r="R716" i="10"/>
  <c r="R715" i="10" s="1"/>
  <c r="U715" i="10" s="1"/>
  <c r="Q716" i="10"/>
  <c r="T716" i="10" s="1"/>
  <c r="O716" i="10"/>
  <c r="N716" i="10"/>
  <c r="N715" i="10" s="1"/>
  <c r="M716" i="10"/>
  <c r="P716" i="10" s="1"/>
  <c r="L716" i="10"/>
  <c r="L715" i="10" s="1"/>
  <c r="O715" i="10" s="1"/>
  <c r="S715" i="10"/>
  <c r="M715" i="10"/>
  <c r="P715" i="10" s="1"/>
  <c r="K713" i="10"/>
  <c r="J713" i="10"/>
  <c r="K711" i="10"/>
  <c r="J711" i="10"/>
  <c r="J710" i="10"/>
  <c r="I710" i="10"/>
  <c r="K710" i="10" s="1"/>
  <c r="K709" i="10"/>
  <c r="J709" i="10"/>
  <c r="J708" i="10"/>
  <c r="J690" i="10" s="1"/>
  <c r="I708" i="10"/>
  <c r="K707" i="10"/>
  <c r="J707" i="10"/>
  <c r="J706" i="10"/>
  <c r="I706" i="10"/>
  <c r="K705" i="10"/>
  <c r="J705" i="10"/>
  <c r="J704" i="10"/>
  <c r="I704" i="10"/>
  <c r="K704" i="10" s="1"/>
  <c r="K703" i="10"/>
  <c r="I701" i="10"/>
  <c r="K701" i="10" s="1"/>
  <c r="U699" i="10"/>
  <c r="T699" i="10"/>
  <c r="P699" i="10"/>
  <c r="O699" i="10"/>
  <c r="U698" i="10"/>
  <c r="T698" i="10"/>
  <c r="P698" i="10"/>
  <c r="O698" i="10"/>
  <c r="T697" i="10"/>
  <c r="S697" i="10"/>
  <c r="R697" i="10"/>
  <c r="U697" i="10" s="1"/>
  <c r="Q697" i="10"/>
  <c r="P697" i="10"/>
  <c r="N697" i="10"/>
  <c r="M697" i="10"/>
  <c r="L697" i="10"/>
  <c r="O697" i="10" s="1"/>
  <c r="S696" i="10"/>
  <c r="R696" i="10"/>
  <c r="Q696" i="10"/>
  <c r="T696" i="10" s="1"/>
  <c r="P696" i="10"/>
  <c r="O696" i="10"/>
  <c r="U695" i="10"/>
  <c r="T695" i="10"/>
  <c r="P695" i="10"/>
  <c r="O695" i="10"/>
  <c r="O694" i="10"/>
  <c r="N694" i="10"/>
  <c r="M694" i="10"/>
  <c r="P694" i="10" s="1"/>
  <c r="L694" i="10"/>
  <c r="O693" i="10"/>
  <c r="N693" i="10"/>
  <c r="M693" i="10"/>
  <c r="P693" i="10" s="1"/>
  <c r="L693" i="10"/>
  <c r="U692" i="10"/>
  <c r="S692" i="10"/>
  <c r="R692" i="10"/>
  <c r="Q692" i="10"/>
  <c r="O692" i="10"/>
  <c r="N692" i="10"/>
  <c r="N691" i="10" s="1"/>
  <c r="M692" i="10"/>
  <c r="P692" i="10" s="1"/>
  <c r="L692" i="10"/>
  <c r="O691" i="10"/>
  <c r="L691" i="10"/>
  <c r="J683" i="10"/>
  <c r="I683" i="10"/>
  <c r="K683" i="10" s="1"/>
  <c r="J682" i="10"/>
  <c r="I682" i="10"/>
  <c r="K682" i="10" s="1"/>
  <c r="J681" i="10"/>
  <c r="J680" i="10"/>
  <c r="I680" i="10"/>
  <c r="K680" i="10" s="1"/>
  <c r="J679" i="10"/>
  <c r="I679" i="10"/>
  <c r="K679" i="10" s="1"/>
  <c r="J678" i="10"/>
  <c r="J677" i="10"/>
  <c r="I677" i="10"/>
  <c r="K677" i="10" s="1"/>
  <c r="I676" i="10"/>
  <c r="K676" i="10" s="1"/>
  <c r="I675" i="10"/>
  <c r="K675" i="10" s="1"/>
  <c r="J674" i="10"/>
  <c r="I674" i="10"/>
  <c r="K674" i="10" s="1"/>
  <c r="J673" i="10"/>
  <c r="J672" i="10"/>
  <c r="J662" i="10"/>
  <c r="I662" i="10"/>
  <c r="K662" i="10" s="1"/>
  <c r="I661" i="10"/>
  <c r="I658" i="10"/>
  <c r="J655" i="10"/>
  <c r="I655" i="10"/>
  <c r="K655" i="10" s="1"/>
  <c r="J654" i="10"/>
  <c r="I654" i="10"/>
  <c r="K654" i="10" s="1"/>
  <c r="J653" i="10"/>
  <c r="I653" i="10"/>
  <c r="K653" i="10" s="1"/>
  <c r="U651" i="10"/>
  <c r="T651" i="10"/>
  <c r="P651" i="10"/>
  <c r="O651" i="10"/>
  <c r="U650" i="10"/>
  <c r="T650" i="10"/>
  <c r="P650" i="10"/>
  <c r="O650" i="10"/>
  <c r="T649" i="10"/>
  <c r="S649" i="10"/>
  <c r="R649" i="10"/>
  <c r="U649" i="10" s="1"/>
  <c r="Q649" i="10"/>
  <c r="N649" i="10"/>
  <c r="M649" i="10"/>
  <c r="P649" i="10" s="1"/>
  <c r="L649" i="10"/>
  <c r="O649" i="10" s="1"/>
  <c r="S648" i="10"/>
  <c r="S646" i="10" s="1"/>
  <c r="R648" i="10"/>
  <c r="U648" i="10" s="1"/>
  <c r="Q648" i="10"/>
  <c r="T648" i="10" s="1"/>
  <c r="P648" i="10"/>
  <c r="O648" i="10"/>
  <c r="U647" i="10"/>
  <c r="T647" i="10"/>
  <c r="P647" i="10"/>
  <c r="O647" i="10"/>
  <c r="O646" i="10"/>
  <c r="N646" i="10"/>
  <c r="M646" i="10"/>
  <c r="P646" i="10" s="1"/>
  <c r="L646" i="10"/>
  <c r="O645" i="10"/>
  <c r="N645" i="10"/>
  <c r="M645" i="10"/>
  <c r="P645" i="10" s="1"/>
  <c r="L645" i="10"/>
  <c r="S644" i="10"/>
  <c r="R644" i="10"/>
  <c r="U644" i="10" s="1"/>
  <c r="Q644" i="10"/>
  <c r="N644" i="10"/>
  <c r="N643" i="10" s="1"/>
  <c r="M644" i="10"/>
  <c r="P644" i="10" s="1"/>
  <c r="L644" i="10"/>
  <c r="O644" i="10" s="1"/>
  <c r="O643" i="10"/>
  <c r="L643" i="10"/>
  <c r="J637" i="10"/>
  <c r="J636" i="10"/>
  <c r="I636" i="10"/>
  <c r="K636" i="10" s="1"/>
  <c r="J633" i="10"/>
  <c r="I629" i="10"/>
  <c r="K629" i="10" s="1"/>
  <c r="I628" i="10"/>
  <c r="K628" i="10" s="1"/>
  <c r="J627" i="10"/>
  <c r="I627" i="10"/>
  <c r="K633" i="10" s="1"/>
  <c r="U625" i="10"/>
  <c r="T625" i="10"/>
  <c r="P625" i="10"/>
  <c r="O625" i="10"/>
  <c r="U624" i="10"/>
  <c r="T624" i="10"/>
  <c r="P624" i="10"/>
  <c r="O624" i="10"/>
  <c r="U623" i="10"/>
  <c r="S623" i="10"/>
  <c r="R623" i="10"/>
  <c r="Q623" i="10"/>
  <c r="T623" i="10" s="1"/>
  <c r="O623" i="10"/>
  <c r="N623" i="10"/>
  <c r="M623" i="10"/>
  <c r="P623" i="10" s="1"/>
  <c r="L623" i="10"/>
  <c r="S622" i="10"/>
  <c r="S619" i="10" s="1"/>
  <c r="R622" i="10"/>
  <c r="R619" i="10" s="1"/>
  <c r="Q622" i="10"/>
  <c r="P622" i="10"/>
  <c r="O622" i="10"/>
  <c r="U621" i="10"/>
  <c r="T621" i="10"/>
  <c r="P621" i="10"/>
  <c r="O621" i="10"/>
  <c r="P620" i="10"/>
  <c r="N620" i="10"/>
  <c r="M620" i="10"/>
  <c r="L620" i="10"/>
  <c r="O620" i="10" s="1"/>
  <c r="P619" i="10"/>
  <c r="O619" i="10"/>
  <c r="N619" i="10"/>
  <c r="M619" i="10"/>
  <c r="L619" i="10"/>
  <c r="T618" i="10"/>
  <c r="S618" i="10"/>
  <c r="R618" i="10"/>
  <c r="Q618" i="10"/>
  <c r="N618" i="10"/>
  <c r="M618" i="10"/>
  <c r="P618" i="10" s="1"/>
  <c r="L618" i="10"/>
  <c r="P617" i="10"/>
  <c r="M617" i="10"/>
  <c r="J616" i="10"/>
  <c r="U608" i="10"/>
  <c r="T608" i="10"/>
  <c r="P608" i="10"/>
  <c r="O608" i="10"/>
  <c r="U607" i="10"/>
  <c r="T607" i="10"/>
  <c r="P607" i="10"/>
  <c r="O607" i="10"/>
  <c r="U606" i="10"/>
  <c r="T606" i="10"/>
  <c r="S606" i="10"/>
  <c r="R606" i="10"/>
  <c r="Q606" i="10"/>
  <c r="O606" i="10"/>
  <c r="N606" i="10"/>
  <c r="M606" i="10"/>
  <c r="P606" i="10" s="1"/>
  <c r="L606" i="10"/>
  <c r="U605" i="10"/>
  <c r="T605" i="10"/>
  <c r="P605" i="10"/>
  <c r="O605" i="10"/>
  <c r="U604" i="10"/>
  <c r="T604" i="10"/>
  <c r="P604" i="10"/>
  <c r="O604" i="10"/>
  <c r="U603" i="10"/>
  <c r="T603" i="10"/>
  <c r="S603" i="10"/>
  <c r="R603" i="10"/>
  <c r="Q603" i="10"/>
  <c r="O603" i="10"/>
  <c r="N603" i="10"/>
  <c r="M603" i="10"/>
  <c r="P603" i="10" s="1"/>
  <c r="L603" i="10"/>
  <c r="S602" i="10"/>
  <c r="R602" i="10"/>
  <c r="U602" i="10" s="1"/>
  <c r="Q602" i="10"/>
  <c r="T602" i="10" s="1"/>
  <c r="N602" i="10"/>
  <c r="M602" i="10"/>
  <c r="P602" i="10" s="1"/>
  <c r="L602" i="10"/>
  <c r="O602" i="10" s="1"/>
  <c r="U601" i="10"/>
  <c r="S601" i="10"/>
  <c r="R601" i="10"/>
  <c r="Q601" i="10"/>
  <c r="T601" i="10" s="1"/>
  <c r="P601" i="10"/>
  <c r="O601" i="10"/>
  <c r="N601" i="10"/>
  <c r="N600" i="10" s="1"/>
  <c r="M601" i="10"/>
  <c r="L601" i="10"/>
  <c r="S600" i="10"/>
  <c r="R600" i="10"/>
  <c r="U600" i="10" s="1"/>
  <c r="M600" i="10"/>
  <c r="P600" i="10" s="1"/>
  <c r="L600" i="10"/>
  <c r="O600" i="10" s="1"/>
  <c r="U585" i="10"/>
  <c r="T585" i="10"/>
  <c r="P585" i="10"/>
  <c r="O585" i="10"/>
  <c r="U584" i="10"/>
  <c r="T584" i="10"/>
  <c r="P584" i="10"/>
  <c r="O584" i="10"/>
  <c r="S583" i="10"/>
  <c r="R583" i="10"/>
  <c r="U583" i="10" s="1"/>
  <c r="Q583" i="10"/>
  <c r="T583" i="10" s="1"/>
  <c r="N583" i="10"/>
  <c r="M583" i="10"/>
  <c r="P583" i="10" s="1"/>
  <c r="L583" i="10"/>
  <c r="O583" i="10" s="1"/>
  <c r="U582" i="10"/>
  <c r="T582" i="10"/>
  <c r="P582" i="10"/>
  <c r="O582" i="10"/>
  <c r="U581" i="10"/>
  <c r="T581" i="10"/>
  <c r="P581" i="10"/>
  <c r="O581" i="10"/>
  <c r="T580" i="10"/>
  <c r="S580" i="10"/>
  <c r="R580" i="10"/>
  <c r="U580" i="10" s="1"/>
  <c r="Q580" i="10"/>
  <c r="N580" i="10"/>
  <c r="M580" i="10"/>
  <c r="P580" i="10" s="1"/>
  <c r="L580" i="10"/>
  <c r="O580" i="10" s="1"/>
  <c r="S579" i="10"/>
  <c r="R579" i="10"/>
  <c r="U579" i="10" s="1"/>
  <c r="Q579" i="10"/>
  <c r="T579" i="10" s="1"/>
  <c r="P579" i="10"/>
  <c r="N579" i="10"/>
  <c r="M579" i="10"/>
  <c r="L579" i="10"/>
  <c r="O579" i="10" s="1"/>
  <c r="U578" i="10"/>
  <c r="T578" i="10"/>
  <c r="S578" i="10"/>
  <c r="R578" i="10"/>
  <c r="Q578" i="10"/>
  <c r="P578" i="10"/>
  <c r="O578" i="10"/>
  <c r="N578" i="10"/>
  <c r="N577" i="10" s="1"/>
  <c r="M578" i="10"/>
  <c r="L578" i="10"/>
  <c r="S577" i="10"/>
  <c r="R577" i="10"/>
  <c r="U577" i="10" s="1"/>
  <c r="M577" i="10"/>
  <c r="P577" i="10" s="1"/>
  <c r="L577" i="10"/>
  <c r="O577" i="10" s="1"/>
  <c r="J576" i="10"/>
  <c r="I576" i="10"/>
  <c r="K576" i="10" s="1"/>
  <c r="U564" i="10"/>
  <c r="T564" i="10"/>
  <c r="P564" i="10"/>
  <c r="O564" i="10"/>
  <c r="U563" i="10"/>
  <c r="T563" i="10"/>
  <c r="P563" i="10"/>
  <c r="O563" i="10"/>
  <c r="U562" i="10"/>
  <c r="S562" i="10"/>
  <c r="R562" i="10"/>
  <c r="Q562" i="10"/>
  <c r="T562" i="10" s="1"/>
  <c r="P562" i="10"/>
  <c r="O562" i="10"/>
  <c r="N562" i="10"/>
  <c r="M562" i="10"/>
  <c r="L562" i="10"/>
  <c r="U561" i="10"/>
  <c r="T561" i="10"/>
  <c r="P561" i="10"/>
  <c r="O561" i="10"/>
  <c r="U560" i="10"/>
  <c r="T560" i="10"/>
  <c r="P560" i="10"/>
  <c r="O560" i="10"/>
  <c r="U559" i="10"/>
  <c r="S559" i="10"/>
  <c r="R559" i="10"/>
  <c r="Q559" i="10"/>
  <c r="T559" i="10" s="1"/>
  <c r="P559" i="10"/>
  <c r="O559" i="10"/>
  <c r="N559" i="10"/>
  <c r="M559" i="10"/>
  <c r="L559" i="10"/>
  <c r="T558" i="10"/>
  <c r="S558" i="10"/>
  <c r="S556" i="10" s="1"/>
  <c r="R558" i="10"/>
  <c r="U558" i="10" s="1"/>
  <c r="Q558" i="10"/>
  <c r="N558" i="10"/>
  <c r="M558" i="10"/>
  <c r="M556" i="10" s="1"/>
  <c r="L558" i="10"/>
  <c r="O558" i="10" s="1"/>
  <c r="S557" i="10"/>
  <c r="R557" i="10"/>
  <c r="Q557" i="10"/>
  <c r="T557" i="10" s="1"/>
  <c r="N557" i="10"/>
  <c r="N556" i="10" s="1"/>
  <c r="M557" i="10"/>
  <c r="P557" i="10" s="1"/>
  <c r="L557" i="10"/>
  <c r="P556" i="10"/>
  <c r="J555" i="10"/>
  <c r="I555" i="10"/>
  <c r="K555" i="10" s="1"/>
  <c r="U543" i="10"/>
  <c r="T543" i="10"/>
  <c r="P543" i="10"/>
  <c r="O543" i="10"/>
  <c r="U542" i="10"/>
  <c r="T542" i="10"/>
  <c r="P542" i="10"/>
  <c r="O542" i="10"/>
  <c r="S541" i="10"/>
  <c r="R541" i="10"/>
  <c r="U541" i="10" s="1"/>
  <c r="Q541" i="10"/>
  <c r="T541" i="10" s="1"/>
  <c r="N541" i="10"/>
  <c r="M541" i="10"/>
  <c r="P541" i="10" s="1"/>
  <c r="L541" i="10"/>
  <c r="O541" i="10" s="1"/>
  <c r="U540" i="10"/>
  <c r="T540" i="10"/>
  <c r="P540" i="10"/>
  <c r="O540" i="10"/>
  <c r="U539" i="10"/>
  <c r="T539" i="10"/>
  <c r="P539" i="10"/>
  <c r="O539" i="10"/>
  <c r="S538" i="10"/>
  <c r="R538" i="10"/>
  <c r="U538" i="10" s="1"/>
  <c r="Q538" i="10"/>
  <c r="T538" i="10" s="1"/>
  <c r="N538" i="10"/>
  <c r="M538" i="10"/>
  <c r="P538" i="10" s="1"/>
  <c r="L538" i="10"/>
  <c r="O538" i="10" s="1"/>
  <c r="S537" i="10"/>
  <c r="R537" i="10"/>
  <c r="U537" i="10" s="1"/>
  <c r="Q537" i="10"/>
  <c r="T537" i="10" s="1"/>
  <c r="P537" i="10"/>
  <c r="N537" i="10"/>
  <c r="M537" i="10"/>
  <c r="L537" i="10"/>
  <c r="O537" i="10" s="1"/>
  <c r="U536" i="10"/>
  <c r="T536" i="10"/>
  <c r="S536" i="10"/>
  <c r="R536" i="10"/>
  <c r="Q536" i="10"/>
  <c r="Q535" i="10" s="1"/>
  <c r="T535" i="10" s="1"/>
  <c r="P536" i="10"/>
  <c r="O536" i="10"/>
  <c r="N536" i="10"/>
  <c r="N535" i="10" s="1"/>
  <c r="M536" i="10"/>
  <c r="L536" i="10"/>
  <c r="S535" i="10"/>
  <c r="R535" i="10"/>
  <c r="U535" i="10" s="1"/>
  <c r="M535" i="10"/>
  <c r="P535" i="10" s="1"/>
  <c r="L535" i="10"/>
  <c r="O535" i="10" s="1"/>
  <c r="J534" i="10"/>
  <c r="I534" i="10"/>
  <c r="K534" i="10" s="1"/>
  <c r="K525" i="10"/>
  <c r="K524" i="10"/>
  <c r="U522" i="10"/>
  <c r="T522" i="10"/>
  <c r="N522" i="10"/>
  <c r="N520" i="10" s="1"/>
  <c r="M522" i="10"/>
  <c r="L522" i="10"/>
  <c r="L520" i="10" s="1"/>
  <c r="O520" i="10" s="1"/>
  <c r="U521" i="10"/>
  <c r="T521" i="10"/>
  <c r="P521" i="10"/>
  <c r="O521" i="10"/>
  <c r="U520" i="10"/>
  <c r="T520" i="10"/>
  <c r="S520" i="10"/>
  <c r="R520" i="10"/>
  <c r="Q520" i="10"/>
  <c r="U519" i="10"/>
  <c r="T519" i="10"/>
  <c r="N519" i="10"/>
  <c r="N517" i="10" s="1"/>
  <c r="M519" i="10"/>
  <c r="M517" i="10" s="1"/>
  <c r="P517" i="10" s="1"/>
  <c r="L519" i="10"/>
  <c r="O519" i="10" s="1"/>
  <c r="U518" i="10"/>
  <c r="T518" i="10"/>
  <c r="P518" i="10"/>
  <c r="O518" i="10"/>
  <c r="S517" i="10"/>
  <c r="R517" i="10"/>
  <c r="U517" i="10" s="1"/>
  <c r="Q517" i="10"/>
  <c r="T517" i="10" s="1"/>
  <c r="U516" i="10"/>
  <c r="S516" i="10"/>
  <c r="R516" i="10"/>
  <c r="Q516" i="10"/>
  <c r="T516" i="10" s="1"/>
  <c r="T515" i="10"/>
  <c r="S515" i="10"/>
  <c r="S514" i="10" s="1"/>
  <c r="R515" i="10"/>
  <c r="U515" i="10" s="1"/>
  <c r="Q515" i="10"/>
  <c r="N515" i="10"/>
  <c r="M515" i="10"/>
  <c r="P515" i="10" s="1"/>
  <c r="L515" i="10"/>
  <c r="O515" i="10" s="1"/>
  <c r="R514" i="10"/>
  <c r="U514" i="10" s="1"/>
  <c r="Q514" i="10"/>
  <c r="T514" i="10" s="1"/>
  <c r="K513" i="10"/>
  <c r="J513" i="10"/>
  <c r="I513" i="10"/>
  <c r="I510" i="10"/>
  <c r="K510" i="10" s="1"/>
  <c r="K509" i="10"/>
  <c r="I508" i="10"/>
  <c r="K508" i="10" s="1"/>
  <c r="I507" i="10"/>
  <c r="K507" i="10" s="1"/>
  <c r="I506" i="10"/>
  <c r="I505" i="10"/>
  <c r="K505" i="10" s="1"/>
  <c r="I504" i="10"/>
  <c r="I493" i="10" s="1"/>
  <c r="K493" i="10" s="1"/>
  <c r="U502" i="10"/>
  <c r="T502" i="10"/>
  <c r="P502" i="10"/>
  <c r="O502" i="10"/>
  <c r="U501" i="10"/>
  <c r="T501" i="10"/>
  <c r="P501" i="10"/>
  <c r="O501" i="10"/>
  <c r="S500" i="10"/>
  <c r="R500" i="10"/>
  <c r="U500" i="10" s="1"/>
  <c r="Q500" i="10"/>
  <c r="T500" i="10" s="1"/>
  <c r="P500" i="10"/>
  <c r="O500" i="10"/>
  <c r="N500" i="10"/>
  <c r="M500" i="10"/>
  <c r="L500" i="10"/>
  <c r="S499" i="10"/>
  <c r="R499" i="10"/>
  <c r="R497" i="10" s="1"/>
  <c r="U497" i="10" s="1"/>
  <c r="Q499" i="10"/>
  <c r="Q497" i="10" s="1"/>
  <c r="T497" i="10" s="1"/>
  <c r="P499" i="10"/>
  <c r="O499" i="10"/>
  <c r="U498" i="10"/>
  <c r="T498" i="10"/>
  <c r="P498" i="10"/>
  <c r="O498" i="10"/>
  <c r="N497" i="10"/>
  <c r="M497" i="10"/>
  <c r="P497" i="10" s="1"/>
  <c r="L497" i="10"/>
  <c r="O497" i="10" s="1"/>
  <c r="N496" i="10"/>
  <c r="M496" i="10"/>
  <c r="P496" i="10" s="1"/>
  <c r="L496" i="10"/>
  <c r="O496" i="10" s="1"/>
  <c r="U495" i="10"/>
  <c r="S495" i="10"/>
  <c r="R495" i="10"/>
  <c r="Q495" i="10"/>
  <c r="T495" i="10" s="1"/>
  <c r="P495" i="10"/>
  <c r="O495" i="10"/>
  <c r="N495" i="10"/>
  <c r="M495" i="10"/>
  <c r="L495" i="10"/>
  <c r="L494" i="10" s="1"/>
  <c r="O494" i="10" s="1"/>
  <c r="N494" i="10"/>
  <c r="M494" i="10"/>
  <c r="P494" i="10" s="1"/>
  <c r="K486" i="10"/>
  <c r="J486" i="10"/>
  <c r="I486" i="10"/>
  <c r="K485" i="10"/>
  <c r="J485" i="10"/>
  <c r="I485" i="10"/>
  <c r="J484" i="10"/>
  <c r="J483" i="10"/>
  <c r="K478" i="10"/>
  <c r="J478" i="10"/>
  <c r="K477" i="10"/>
  <c r="J477" i="10"/>
  <c r="K476" i="10"/>
  <c r="J476" i="10"/>
  <c r="J469" i="10"/>
  <c r="J468" i="10"/>
  <c r="J461" i="10"/>
  <c r="J459" i="10" s="1"/>
  <c r="J460" i="10"/>
  <c r="I459" i="10"/>
  <c r="K459" i="10" s="1"/>
  <c r="J458" i="10"/>
  <c r="J457" i="10" s="1"/>
  <c r="I458" i="10"/>
  <c r="I457" i="10" s="1"/>
  <c r="K457" i="10" s="1"/>
  <c r="J448" i="10"/>
  <c r="J447" i="10"/>
  <c r="J441" i="10" s="1"/>
  <c r="J442" i="10"/>
  <c r="I442" i="10"/>
  <c r="K442" i="10" s="1"/>
  <c r="I441" i="10"/>
  <c r="J434" i="10"/>
  <c r="I434" i="10"/>
  <c r="K434" i="10" s="1"/>
  <c r="J433" i="10"/>
  <c r="I433" i="10"/>
  <c r="K433" i="10" s="1"/>
  <c r="J426" i="10"/>
  <c r="I426" i="10"/>
  <c r="K426" i="10" s="1"/>
  <c r="J425" i="10"/>
  <c r="I425" i="10"/>
  <c r="K425" i="10" s="1"/>
  <c r="J424" i="10"/>
  <c r="U422" i="10"/>
  <c r="T422" i="10"/>
  <c r="P422" i="10"/>
  <c r="O422" i="10"/>
  <c r="U421" i="10"/>
  <c r="T421" i="10"/>
  <c r="P421" i="10"/>
  <c r="O421" i="10"/>
  <c r="U420" i="10"/>
  <c r="S420" i="10"/>
  <c r="R420" i="10"/>
  <c r="Q420" i="10"/>
  <c r="T420" i="10" s="1"/>
  <c r="O420" i="10"/>
  <c r="N420" i="10"/>
  <c r="M420" i="10"/>
  <c r="P420" i="10" s="1"/>
  <c r="L420" i="10"/>
  <c r="S419" i="10"/>
  <c r="R419" i="10"/>
  <c r="Q419" i="10"/>
  <c r="P419" i="10"/>
  <c r="O419" i="10"/>
  <c r="U418" i="10"/>
  <c r="T418" i="10"/>
  <c r="P418" i="10"/>
  <c r="O418" i="10"/>
  <c r="P417" i="10"/>
  <c r="N417" i="10"/>
  <c r="M417" i="10"/>
  <c r="L417" i="10"/>
  <c r="O417" i="10" s="1"/>
  <c r="P416" i="10"/>
  <c r="N416" i="10"/>
  <c r="M416" i="10"/>
  <c r="M414" i="10" s="1"/>
  <c r="L416" i="10"/>
  <c r="O416" i="10" s="1"/>
  <c r="S415" i="10"/>
  <c r="R415" i="10"/>
  <c r="Q415" i="10"/>
  <c r="T415" i="10" s="1"/>
  <c r="P415" i="10"/>
  <c r="N415" i="10"/>
  <c r="M415" i="10"/>
  <c r="L415" i="10"/>
  <c r="O415" i="10" s="1"/>
  <c r="P414" i="10"/>
  <c r="L414" i="10"/>
  <c r="O414" i="10" s="1"/>
  <c r="J413" i="10"/>
  <c r="U401" i="10"/>
  <c r="T401" i="10"/>
  <c r="P401" i="10"/>
  <c r="O401" i="10"/>
  <c r="U400" i="10"/>
  <c r="T400" i="10"/>
  <c r="P400" i="10"/>
  <c r="O400" i="10"/>
  <c r="U399" i="10"/>
  <c r="S399" i="10"/>
  <c r="R399" i="10"/>
  <c r="Q399" i="10"/>
  <c r="T399" i="10" s="1"/>
  <c r="O399" i="10"/>
  <c r="N399" i="10"/>
  <c r="M399" i="10"/>
  <c r="P399" i="10" s="1"/>
  <c r="L399" i="10"/>
  <c r="U398" i="10"/>
  <c r="T398" i="10"/>
  <c r="P398" i="10"/>
  <c r="O398" i="10"/>
  <c r="U397" i="10"/>
  <c r="T397" i="10"/>
  <c r="P397" i="10"/>
  <c r="O397" i="10"/>
  <c r="U396" i="10"/>
  <c r="T396" i="10"/>
  <c r="S396" i="10"/>
  <c r="R396" i="10"/>
  <c r="Q396" i="10"/>
  <c r="O396" i="10"/>
  <c r="N396" i="10"/>
  <c r="M396" i="10"/>
  <c r="P396" i="10" s="1"/>
  <c r="L396" i="10"/>
  <c r="S395" i="10"/>
  <c r="S393" i="10" s="1"/>
  <c r="R395" i="10"/>
  <c r="U395" i="10" s="1"/>
  <c r="Q395" i="10"/>
  <c r="T395" i="10" s="1"/>
  <c r="P395" i="10"/>
  <c r="N395" i="10"/>
  <c r="M395" i="10"/>
  <c r="L395" i="10"/>
  <c r="O395" i="10" s="1"/>
  <c r="U394" i="10"/>
  <c r="T394" i="10"/>
  <c r="S394" i="10"/>
  <c r="R394" i="10"/>
  <c r="Q394" i="10"/>
  <c r="P394" i="10"/>
  <c r="O394" i="10"/>
  <c r="N394" i="10"/>
  <c r="N393" i="10" s="1"/>
  <c r="M394" i="10"/>
  <c r="L394" i="10"/>
  <c r="R393" i="10"/>
  <c r="U393" i="10" s="1"/>
  <c r="M393" i="10"/>
  <c r="P393" i="10" s="1"/>
  <c r="L393" i="10"/>
  <c r="O393" i="10" s="1"/>
  <c r="J392" i="10"/>
  <c r="I392" i="10"/>
  <c r="K392" i="10" s="1"/>
  <c r="J389" i="10"/>
  <c r="I389" i="10"/>
  <c r="K389" i="10" s="1"/>
  <c r="K388" i="10"/>
  <c r="J388" i="10"/>
  <c r="J387" i="10"/>
  <c r="I387" i="10"/>
  <c r="K386" i="10"/>
  <c r="J386" i="10"/>
  <c r="U384" i="10"/>
  <c r="T384" i="10"/>
  <c r="P384" i="10"/>
  <c r="O384" i="10"/>
  <c r="U383" i="10"/>
  <c r="T383" i="10"/>
  <c r="P383" i="10"/>
  <c r="O383" i="10"/>
  <c r="U382" i="10"/>
  <c r="T382" i="10"/>
  <c r="S382" i="10"/>
  <c r="R382" i="10"/>
  <c r="Q382" i="10"/>
  <c r="P382" i="10"/>
  <c r="O382" i="10"/>
  <c r="N382" i="10"/>
  <c r="M382" i="10"/>
  <c r="L382" i="10"/>
  <c r="S381" i="10"/>
  <c r="S378" i="10" s="1"/>
  <c r="S376" i="10" s="1"/>
  <c r="R381" i="10"/>
  <c r="R379" i="10" s="1"/>
  <c r="U379" i="10" s="1"/>
  <c r="Q381" i="10"/>
  <c r="Q378" i="10" s="1"/>
  <c r="P381" i="10"/>
  <c r="O381" i="10"/>
  <c r="U380" i="10"/>
  <c r="T380" i="10"/>
  <c r="P380" i="10"/>
  <c r="O380" i="10"/>
  <c r="N379" i="10"/>
  <c r="M379" i="10"/>
  <c r="P379" i="10" s="1"/>
  <c r="L379" i="10"/>
  <c r="O379" i="10" s="1"/>
  <c r="P378" i="10"/>
  <c r="O378" i="10"/>
  <c r="N378" i="10"/>
  <c r="M378" i="10"/>
  <c r="L378" i="10"/>
  <c r="T377" i="10"/>
  <c r="S377" i="10"/>
  <c r="R377" i="10"/>
  <c r="U377" i="10" s="1"/>
  <c r="Q377" i="10"/>
  <c r="N377" i="10"/>
  <c r="M377" i="10"/>
  <c r="P377" i="10" s="1"/>
  <c r="L377" i="10"/>
  <c r="O377" i="10" s="1"/>
  <c r="M376" i="10"/>
  <c r="P376" i="10" s="1"/>
  <c r="D374" i="10"/>
  <c r="K373" i="10"/>
  <c r="J373" i="10"/>
  <c r="J372" i="10"/>
  <c r="J366" i="10" s="1"/>
  <c r="I372" i="10"/>
  <c r="I366" i="10" s="1"/>
  <c r="K371" i="10"/>
  <c r="J371" i="10"/>
  <c r="J370" i="10"/>
  <c r="I370" i="10"/>
  <c r="J369" i="10"/>
  <c r="I369" i="10"/>
  <c r="K368" i="10"/>
  <c r="J368" i="10"/>
  <c r="U365" i="10"/>
  <c r="T365" i="10"/>
  <c r="N365" i="10"/>
  <c r="N363" i="10" s="1"/>
  <c r="M365" i="10"/>
  <c r="M363" i="10" s="1"/>
  <c r="P363" i="10" s="1"/>
  <c r="L365" i="10"/>
  <c r="L363" i="10" s="1"/>
  <c r="O363" i="10" s="1"/>
  <c r="U364" i="10"/>
  <c r="T364" i="10"/>
  <c r="P364" i="10"/>
  <c r="O364" i="10"/>
  <c r="T363" i="10"/>
  <c r="S363" i="10"/>
  <c r="R363" i="10"/>
  <c r="U363" i="10" s="1"/>
  <c r="Q363" i="10"/>
  <c r="U362" i="10"/>
  <c r="T362" i="10"/>
  <c r="N362" i="10"/>
  <c r="N360" i="10" s="1"/>
  <c r="M362" i="10"/>
  <c r="L362" i="10"/>
  <c r="U361" i="10"/>
  <c r="T361" i="10"/>
  <c r="P361" i="10"/>
  <c r="O361" i="10"/>
  <c r="U360" i="10"/>
  <c r="T360" i="10"/>
  <c r="S360" i="10"/>
  <c r="R360" i="10"/>
  <c r="Q360" i="10"/>
  <c r="T359" i="10"/>
  <c r="S359" i="10"/>
  <c r="R359" i="10"/>
  <c r="U359" i="10" s="1"/>
  <c r="Q359" i="10"/>
  <c r="S358" i="10"/>
  <c r="S357" i="10" s="1"/>
  <c r="R358" i="10"/>
  <c r="Q358" i="10"/>
  <c r="T358" i="10" s="1"/>
  <c r="N358" i="10"/>
  <c r="M358" i="10"/>
  <c r="P358" i="10" s="1"/>
  <c r="L358" i="10"/>
  <c r="D355" i="10"/>
  <c r="J354" i="10"/>
  <c r="J353" i="10"/>
  <c r="D351" i="10"/>
  <c r="J350" i="10"/>
  <c r="J349" i="10"/>
  <c r="J348" i="10"/>
  <c r="J347" i="10"/>
  <c r="I347" i="10"/>
  <c r="J345" i="10"/>
  <c r="I345" i="10"/>
  <c r="U342" i="10"/>
  <c r="T342" i="10"/>
  <c r="N342" i="10"/>
  <c r="N340" i="10" s="1"/>
  <c r="M342" i="10"/>
  <c r="P342" i="10" s="1"/>
  <c r="L342" i="10"/>
  <c r="U341" i="10"/>
  <c r="T341" i="10"/>
  <c r="P341" i="10"/>
  <c r="O341" i="10"/>
  <c r="T340" i="10"/>
  <c r="S340" i="10"/>
  <c r="R340" i="10"/>
  <c r="U340" i="10" s="1"/>
  <c r="Q340" i="10"/>
  <c r="U339" i="10"/>
  <c r="T339" i="10"/>
  <c r="N339" i="10"/>
  <c r="N337" i="10" s="1"/>
  <c r="M339" i="10"/>
  <c r="L339" i="10"/>
  <c r="U338" i="10"/>
  <c r="T338" i="10"/>
  <c r="P338" i="10"/>
  <c r="O338" i="10"/>
  <c r="T337" i="10"/>
  <c r="S337" i="10"/>
  <c r="R337" i="10"/>
  <c r="U337" i="10" s="1"/>
  <c r="Q337" i="10"/>
  <c r="U336" i="10"/>
  <c r="S336" i="10"/>
  <c r="R336" i="10"/>
  <c r="Q336" i="10"/>
  <c r="T336" i="10" s="1"/>
  <c r="T335" i="10"/>
  <c r="S335" i="10"/>
  <c r="S334" i="10" s="1"/>
  <c r="R335" i="10"/>
  <c r="Q335" i="10"/>
  <c r="N335" i="10"/>
  <c r="M335" i="10"/>
  <c r="P335" i="10" s="1"/>
  <c r="L335" i="10"/>
  <c r="O335" i="10" s="1"/>
  <c r="Q334" i="10"/>
  <c r="T334" i="10" s="1"/>
  <c r="I331" i="10"/>
  <c r="U329" i="10"/>
  <c r="T329" i="10"/>
  <c r="N329" i="10"/>
  <c r="N327" i="10" s="1"/>
  <c r="M329" i="10"/>
  <c r="L329" i="10"/>
  <c r="L327" i="10" s="1"/>
  <c r="O327" i="10" s="1"/>
  <c r="U328" i="10"/>
  <c r="T328" i="10"/>
  <c r="P328" i="10"/>
  <c r="O328" i="10"/>
  <c r="U327" i="10"/>
  <c r="T327" i="10"/>
  <c r="S327" i="10"/>
  <c r="R327" i="10"/>
  <c r="Q327" i="10"/>
  <c r="U326" i="10"/>
  <c r="T326" i="10"/>
  <c r="N326" i="10"/>
  <c r="M326" i="10"/>
  <c r="L326" i="10"/>
  <c r="L324" i="10" s="1"/>
  <c r="O324" i="10" s="1"/>
  <c r="U325" i="10"/>
  <c r="T325" i="10"/>
  <c r="P325" i="10"/>
  <c r="O325" i="10"/>
  <c r="S324" i="10"/>
  <c r="R324" i="10"/>
  <c r="U324" i="10" s="1"/>
  <c r="Q324" i="10"/>
  <c r="T324" i="10" s="1"/>
  <c r="U323" i="10"/>
  <c r="S323" i="10"/>
  <c r="S321" i="10" s="1"/>
  <c r="R323" i="10"/>
  <c r="Q323" i="10"/>
  <c r="T323" i="10" s="1"/>
  <c r="T322" i="10"/>
  <c r="S322" i="10"/>
  <c r="R322" i="10"/>
  <c r="U322" i="10" s="1"/>
  <c r="Q322" i="10"/>
  <c r="O322" i="10"/>
  <c r="N322" i="10"/>
  <c r="M322" i="10"/>
  <c r="P322" i="10" s="1"/>
  <c r="L322" i="10"/>
  <c r="R321" i="10"/>
  <c r="U321" i="10" s="1"/>
  <c r="J320" i="10"/>
  <c r="I315" i="10"/>
  <c r="K315" i="10" s="1"/>
  <c r="U312" i="10"/>
  <c r="T312" i="10"/>
  <c r="N312" i="10"/>
  <c r="N310" i="10" s="1"/>
  <c r="M312" i="10"/>
  <c r="P312" i="10" s="1"/>
  <c r="L312" i="10"/>
  <c r="O312" i="10" s="1"/>
  <c r="U311" i="10"/>
  <c r="T311" i="10"/>
  <c r="P311" i="10"/>
  <c r="O311" i="10"/>
  <c r="T310" i="10"/>
  <c r="S310" i="10"/>
  <c r="R310" i="10"/>
  <c r="U310" i="10" s="1"/>
  <c r="Q310" i="10"/>
  <c r="S309" i="10"/>
  <c r="R309" i="10"/>
  <c r="U309" i="10" s="1"/>
  <c r="Q309" i="10"/>
  <c r="T309" i="10" s="1"/>
  <c r="N309" i="10"/>
  <c r="M309" i="10"/>
  <c r="L309" i="10"/>
  <c r="L307" i="10" s="1"/>
  <c r="O307" i="10" s="1"/>
  <c r="U308" i="10"/>
  <c r="T308" i="10"/>
  <c r="P308" i="10"/>
  <c r="O308" i="10"/>
  <c r="U305" i="10"/>
  <c r="T305" i="10"/>
  <c r="S305" i="10"/>
  <c r="R305" i="10"/>
  <c r="Q305" i="10"/>
  <c r="P305" i="10"/>
  <c r="O305" i="10"/>
  <c r="N305" i="10"/>
  <c r="M305" i="10"/>
  <c r="L305" i="10"/>
  <c r="J303" i="10"/>
  <c r="I297" i="10"/>
  <c r="K297" i="10" s="1"/>
  <c r="I296" i="10"/>
  <c r="K296" i="10" s="1"/>
  <c r="J294" i="10"/>
  <c r="I294" i="10"/>
  <c r="I293" i="10"/>
  <c r="U291" i="10"/>
  <c r="T291" i="10"/>
  <c r="N291" i="10"/>
  <c r="M291" i="10"/>
  <c r="L291" i="10"/>
  <c r="O291" i="10" s="1"/>
  <c r="U290" i="10"/>
  <c r="T290" i="10"/>
  <c r="P290" i="10"/>
  <c r="O290" i="10"/>
  <c r="U289" i="10"/>
  <c r="S289" i="10"/>
  <c r="R289" i="10"/>
  <c r="Q289" i="10"/>
  <c r="T289" i="10" s="1"/>
  <c r="U288" i="10"/>
  <c r="T288" i="10"/>
  <c r="N288" i="10"/>
  <c r="N286" i="10" s="1"/>
  <c r="M288" i="10"/>
  <c r="M286" i="10" s="1"/>
  <c r="P286" i="10" s="1"/>
  <c r="L288" i="10"/>
  <c r="O288" i="10" s="1"/>
  <c r="U287" i="10"/>
  <c r="T287" i="10"/>
  <c r="P287" i="10"/>
  <c r="O287" i="10"/>
  <c r="S286" i="10"/>
  <c r="R286" i="10"/>
  <c r="U286" i="10" s="1"/>
  <c r="Q286" i="10"/>
  <c r="T286" i="10" s="1"/>
  <c r="U285" i="10"/>
  <c r="S285" i="10"/>
  <c r="S283" i="10" s="1"/>
  <c r="R285" i="10"/>
  <c r="Q285" i="10"/>
  <c r="T285" i="10" s="1"/>
  <c r="U284" i="10"/>
  <c r="S284" i="10"/>
  <c r="R284" i="10"/>
  <c r="Q284" i="10"/>
  <c r="Q283" i="10" s="1"/>
  <c r="T283" i="10" s="1"/>
  <c r="P284" i="10"/>
  <c r="O284" i="10"/>
  <c r="N284" i="10"/>
  <c r="M284" i="10"/>
  <c r="L284" i="10"/>
  <c r="U283" i="10"/>
  <c r="R283" i="10"/>
  <c r="J282" i="10"/>
  <c r="J281" i="10"/>
  <c r="I277" i="10"/>
  <c r="U275" i="10"/>
  <c r="T275" i="10"/>
  <c r="N275" i="10"/>
  <c r="N273" i="10" s="1"/>
  <c r="M275" i="10"/>
  <c r="P275" i="10" s="1"/>
  <c r="L275" i="10"/>
  <c r="O275" i="10" s="1"/>
  <c r="U274" i="10"/>
  <c r="T274" i="10"/>
  <c r="P274" i="10"/>
  <c r="O274" i="10"/>
  <c r="S273" i="10"/>
  <c r="R273" i="10"/>
  <c r="U273" i="10" s="1"/>
  <c r="Q273" i="10"/>
  <c r="T273" i="10" s="1"/>
  <c r="S272" i="10"/>
  <c r="R272" i="10"/>
  <c r="R270" i="10" s="1"/>
  <c r="Q272" i="10"/>
  <c r="Q269" i="10" s="1"/>
  <c r="Q267" i="10" s="1"/>
  <c r="N272" i="10"/>
  <c r="N270" i="10" s="1"/>
  <c r="M272" i="10"/>
  <c r="L272" i="10"/>
  <c r="L270" i="10" s="1"/>
  <c r="O270" i="10" s="1"/>
  <c r="U271" i="10"/>
  <c r="T271" i="10"/>
  <c r="P271" i="10"/>
  <c r="O271" i="10"/>
  <c r="T268" i="10"/>
  <c r="S268" i="10"/>
  <c r="R268" i="10"/>
  <c r="Q268" i="10"/>
  <c r="P268" i="10"/>
  <c r="N268" i="10"/>
  <c r="M268" i="10"/>
  <c r="L268" i="10"/>
  <c r="O268" i="10" s="1"/>
  <c r="J266" i="10"/>
  <c r="K264" i="10"/>
  <c r="K263" i="10"/>
  <c r="I261" i="10"/>
  <c r="I254" i="10" s="1"/>
  <c r="K254" i="10" s="1"/>
  <c r="L259" i="10"/>
  <c r="L258" i="10"/>
  <c r="L257" i="10"/>
  <c r="L256" i="10"/>
  <c r="P255" i="10"/>
  <c r="N255" i="10"/>
  <c r="J254" i="10"/>
  <c r="K253" i="10"/>
  <c r="K252" i="10"/>
  <c r="I250" i="10"/>
  <c r="L248" i="10"/>
  <c r="L247" i="10"/>
  <c r="L246" i="10"/>
  <c r="L245" i="10"/>
  <c r="P244" i="10"/>
  <c r="N244" i="10"/>
  <c r="J243" i="10"/>
  <c r="J232" i="10" s="1"/>
  <c r="J186" i="10" s="1"/>
  <c r="K242" i="10"/>
  <c r="J242" i="10"/>
  <c r="I242" i="10"/>
  <c r="K241" i="10"/>
  <c r="J241" i="10"/>
  <c r="I241" i="10"/>
  <c r="J239" i="10"/>
  <c r="N237" i="10"/>
  <c r="N236" i="10"/>
  <c r="N235" i="10"/>
  <c r="N234" i="10"/>
  <c r="I231" i="10"/>
  <c r="K231" i="10" s="1"/>
  <c r="I230" i="10"/>
  <c r="I222" i="10" s="1"/>
  <c r="K222" i="10" s="1"/>
  <c r="I229" i="10"/>
  <c r="K229" i="10" s="1"/>
  <c r="L226" i="10"/>
  <c r="L225" i="10"/>
  <c r="L224" i="10"/>
  <c r="P223" i="10"/>
  <c r="N223" i="10"/>
  <c r="J222" i="10"/>
  <c r="I221" i="10"/>
  <c r="I220" i="10"/>
  <c r="K220" i="10" s="1"/>
  <c r="L218" i="10"/>
  <c r="L217" i="10"/>
  <c r="L216" i="10"/>
  <c r="P215" i="10"/>
  <c r="N215" i="10"/>
  <c r="J214" i="10"/>
  <c r="I213" i="10"/>
  <c r="K213" i="10" s="1"/>
  <c r="I212" i="10"/>
  <c r="K212" i="10" s="1"/>
  <c r="I210" i="10"/>
  <c r="K210" i="10" s="1"/>
  <c r="L208" i="10"/>
  <c r="L207" i="10"/>
  <c r="L206" i="10"/>
  <c r="L205" i="10"/>
  <c r="P204" i="10"/>
  <c r="N204" i="10"/>
  <c r="J203" i="10"/>
  <c r="J200" i="10"/>
  <c r="I199" i="10"/>
  <c r="I196" i="10" s="1"/>
  <c r="P197" i="10"/>
  <c r="L197" i="10"/>
  <c r="O197" i="10" s="1"/>
  <c r="J196" i="10"/>
  <c r="U195" i="10"/>
  <c r="T195" i="10"/>
  <c r="N195" i="10"/>
  <c r="N193" i="10" s="1"/>
  <c r="M195" i="10"/>
  <c r="L195" i="10"/>
  <c r="O195" i="10" s="1"/>
  <c r="U194" i="10"/>
  <c r="T194" i="10"/>
  <c r="P194" i="10"/>
  <c r="O194" i="10"/>
  <c r="S193" i="10"/>
  <c r="R193" i="10"/>
  <c r="U193" i="10" s="1"/>
  <c r="Q193" i="10"/>
  <c r="T193" i="10" s="1"/>
  <c r="S192" i="10"/>
  <c r="S190" i="10" s="1"/>
  <c r="R192" i="10"/>
  <c r="R190" i="10" s="1"/>
  <c r="U190" i="10" s="1"/>
  <c r="Q192" i="10"/>
  <c r="T192" i="10" s="1"/>
  <c r="N192" i="10"/>
  <c r="M192" i="10"/>
  <c r="M190" i="10" s="1"/>
  <c r="L192" i="10"/>
  <c r="L190" i="10" s="1"/>
  <c r="U191" i="10"/>
  <c r="T191" i="10"/>
  <c r="P191" i="10"/>
  <c r="O191" i="10"/>
  <c r="T188" i="10"/>
  <c r="S188" i="10"/>
  <c r="R188" i="10"/>
  <c r="Q188" i="10"/>
  <c r="P188" i="10"/>
  <c r="N188" i="10"/>
  <c r="M188" i="10"/>
  <c r="L188" i="10"/>
  <c r="O188" i="10" s="1"/>
  <c r="K185" i="10"/>
  <c r="I184" i="10"/>
  <c r="K184" i="10" s="1"/>
  <c r="U182" i="10"/>
  <c r="T182" i="10"/>
  <c r="N182" i="10"/>
  <c r="N180" i="10" s="1"/>
  <c r="M182" i="10"/>
  <c r="P182" i="10" s="1"/>
  <c r="L182" i="10"/>
  <c r="L180" i="10" s="1"/>
  <c r="O180" i="10" s="1"/>
  <c r="U181" i="10"/>
  <c r="T181" i="10"/>
  <c r="P181" i="10"/>
  <c r="O181" i="10"/>
  <c r="U180" i="10"/>
  <c r="T180" i="10"/>
  <c r="S180" i="10"/>
  <c r="R180" i="10"/>
  <c r="Q180" i="10"/>
  <c r="S179" i="10"/>
  <c r="S176" i="10" s="1"/>
  <c r="S174" i="10" s="1"/>
  <c r="R179" i="10"/>
  <c r="Q179" i="10"/>
  <c r="T179" i="10" s="1"/>
  <c r="N179" i="10"/>
  <c r="N177" i="10" s="1"/>
  <c r="M179" i="10"/>
  <c r="L179" i="10"/>
  <c r="L177" i="10" s="1"/>
  <c r="O177" i="10" s="1"/>
  <c r="U178" i="10"/>
  <c r="T178" i="10"/>
  <c r="P178" i="10"/>
  <c r="O178" i="10"/>
  <c r="U175" i="10"/>
  <c r="S175" i="10"/>
  <c r="R175" i="10"/>
  <c r="Q175" i="10"/>
  <c r="P175" i="10"/>
  <c r="O175" i="10"/>
  <c r="N175" i="10"/>
  <c r="M175" i="10"/>
  <c r="L175" i="10"/>
  <c r="J173" i="10"/>
  <c r="I170" i="10"/>
  <c r="K170" i="10" s="1"/>
  <c r="I169" i="10"/>
  <c r="K169" i="10" s="1"/>
  <c r="I168" i="10"/>
  <c r="K168" i="10" s="1"/>
  <c r="U166" i="10"/>
  <c r="T166" i="10"/>
  <c r="N166" i="10"/>
  <c r="N164" i="10" s="1"/>
  <c r="M166" i="10"/>
  <c r="P166" i="10" s="1"/>
  <c r="L166" i="10"/>
  <c r="L164" i="10" s="1"/>
  <c r="O164" i="10" s="1"/>
  <c r="U165" i="10"/>
  <c r="T165" i="10"/>
  <c r="P165" i="10"/>
  <c r="O165" i="10"/>
  <c r="U164" i="10"/>
  <c r="S164" i="10"/>
  <c r="R164" i="10"/>
  <c r="Q164" i="10"/>
  <c r="T164" i="10" s="1"/>
  <c r="S163" i="10"/>
  <c r="S161" i="10" s="1"/>
  <c r="R163" i="10"/>
  <c r="Q163" i="10"/>
  <c r="T163" i="10" s="1"/>
  <c r="N163" i="10"/>
  <c r="N161" i="10" s="1"/>
  <c r="M163" i="10"/>
  <c r="M161" i="10" s="1"/>
  <c r="P161" i="10" s="1"/>
  <c r="L163" i="10"/>
  <c r="L161" i="10" s="1"/>
  <c r="O161" i="10" s="1"/>
  <c r="U162" i="10"/>
  <c r="T162" i="10"/>
  <c r="P162" i="10"/>
  <c r="O162" i="10"/>
  <c r="S159" i="10"/>
  <c r="R159" i="10"/>
  <c r="Q159" i="10"/>
  <c r="N159" i="10"/>
  <c r="M159" i="10"/>
  <c r="L159" i="10"/>
  <c r="O159" i="10" s="1"/>
  <c r="J157" i="10"/>
  <c r="I155" i="10"/>
  <c r="I137" i="10" s="1"/>
  <c r="K137" i="10" s="1"/>
  <c r="I154" i="10"/>
  <c r="K154" i="10" s="1"/>
  <c r="I153" i="10"/>
  <c r="I138" i="10" s="1"/>
  <c r="K138" i="10" s="1"/>
  <c r="I152" i="10"/>
  <c r="K152" i="10" s="1"/>
  <c r="I151" i="10"/>
  <c r="K151" i="10" s="1"/>
  <c r="U148" i="10"/>
  <c r="T148" i="10"/>
  <c r="N148" i="10"/>
  <c r="M148" i="10"/>
  <c r="L148" i="10"/>
  <c r="O148" i="10" s="1"/>
  <c r="U147" i="10"/>
  <c r="T147" i="10"/>
  <c r="P147" i="10"/>
  <c r="O147" i="10"/>
  <c r="U146" i="10"/>
  <c r="S146" i="10"/>
  <c r="R146" i="10"/>
  <c r="Q146" i="10"/>
  <c r="T146" i="10" s="1"/>
  <c r="S145" i="10"/>
  <c r="S143" i="10" s="1"/>
  <c r="R145" i="10"/>
  <c r="Q145" i="10"/>
  <c r="T145" i="10" s="1"/>
  <c r="N145" i="10"/>
  <c r="N143" i="10" s="1"/>
  <c r="M145" i="10"/>
  <c r="L145" i="10"/>
  <c r="U144" i="10"/>
  <c r="T144" i="10"/>
  <c r="P144" i="10"/>
  <c r="O144" i="10"/>
  <c r="U141" i="10"/>
  <c r="S141" i="10"/>
  <c r="R141" i="10"/>
  <c r="Q141" i="10"/>
  <c r="O141" i="10"/>
  <c r="N141" i="10"/>
  <c r="M141" i="10"/>
  <c r="L141" i="10"/>
  <c r="J139" i="10"/>
  <c r="J138" i="10"/>
  <c r="J137" i="10"/>
  <c r="I131" i="10"/>
  <c r="K131" i="10" s="1"/>
  <c r="I130" i="10"/>
  <c r="K130" i="10" s="1"/>
  <c r="I129" i="10"/>
  <c r="K129" i="10" s="1"/>
  <c r="I128" i="10"/>
  <c r="U126" i="10"/>
  <c r="T126" i="10"/>
  <c r="N126" i="10"/>
  <c r="N124" i="10" s="1"/>
  <c r="M126" i="10"/>
  <c r="M124" i="10" s="1"/>
  <c r="P124" i="10" s="1"/>
  <c r="L126" i="10"/>
  <c r="O126" i="10" s="1"/>
  <c r="U125" i="10"/>
  <c r="T125" i="10"/>
  <c r="P125" i="10"/>
  <c r="O125" i="10"/>
  <c r="T124" i="10"/>
  <c r="S124" i="10"/>
  <c r="R124" i="10"/>
  <c r="U124" i="10" s="1"/>
  <c r="Q124" i="10"/>
  <c r="S123" i="10"/>
  <c r="S121" i="10" s="1"/>
  <c r="R123" i="10"/>
  <c r="R120" i="10" s="1"/>
  <c r="Q123" i="10"/>
  <c r="Q121" i="10" s="1"/>
  <c r="N123" i="10"/>
  <c r="M123" i="10"/>
  <c r="M121" i="10" s="1"/>
  <c r="P121" i="10" s="1"/>
  <c r="L123" i="10"/>
  <c r="O123" i="10" s="1"/>
  <c r="U122" i="10"/>
  <c r="T122" i="10"/>
  <c r="P122" i="10"/>
  <c r="O122" i="10"/>
  <c r="U119" i="10"/>
  <c r="T119" i="10"/>
  <c r="S119" i="10"/>
  <c r="R119" i="10"/>
  <c r="Q119" i="10"/>
  <c r="P119" i="10"/>
  <c r="O119" i="10"/>
  <c r="N119" i="10"/>
  <c r="M119" i="10"/>
  <c r="L119" i="10"/>
  <c r="J117" i="10"/>
  <c r="I115" i="10"/>
  <c r="K115" i="10" s="1"/>
  <c r="I110" i="10"/>
  <c r="K110" i="10" s="1"/>
  <c r="I109" i="10"/>
  <c r="K109" i="10" s="1"/>
  <c r="U103" i="10"/>
  <c r="T103" i="10"/>
  <c r="N103" i="10"/>
  <c r="N101" i="10" s="1"/>
  <c r="M103" i="10"/>
  <c r="P103" i="10" s="1"/>
  <c r="L103" i="10"/>
  <c r="O103" i="10" s="1"/>
  <c r="U102" i="10"/>
  <c r="T102" i="10"/>
  <c r="P102" i="10"/>
  <c r="O102" i="10"/>
  <c r="T101" i="10"/>
  <c r="S101" i="10"/>
  <c r="R101" i="10"/>
  <c r="U101" i="10" s="1"/>
  <c r="Q101" i="10"/>
  <c r="S100" i="10"/>
  <c r="S97" i="10" s="1"/>
  <c r="S95" i="10" s="1"/>
  <c r="R100" i="10"/>
  <c r="U100" i="10" s="1"/>
  <c r="Q100" i="10"/>
  <c r="Q98" i="10" s="1"/>
  <c r="T98" i="10" s="1"/>
  <c r="N100" i="10"/>
  <c r="N98" i="10" s="1"/>
  <c r="M100" i="10"/>
  <c r="P100" i="10" s="1"/>
  <c r="L100" i="10"/>
  <c r="O100" i="10" s="1"/>
  <c r="U99" i="10"/>
  <c r="T99" i="10"/>
  <c r="P99" i="10"/>
  <c r="O99" i="10"/>
  <c r="U96" i="10"/>
  <c r="T96" i="10"/>
  <c r="S96" i="10"/>
  <c r="R96" i="10"/>
  <c r="Q96" i="10"/>
  <c r="P96" i="10"/>
  <c r="O96" i="10"/>
  <c r="N96" i="10"/>
  <c r="M96" i="10"/>
  <c r="L96" i="10"/>
  <c r="J94" i="10"/>
  <c r="J93" i="10"/>
  <c r="I91" i="10"/>
  <c r="K91" i="10" s="1"/>
  <c r="I90" i="10"/>
  <c r="K90" i="10" s="1"/>
  <c r="I89" i="10"/>
  <c r="I88" i="10"/>
  <c r="K88" i="10" s="1"/>
  <c r="I87" i="10"/>
  <c r="K87" i="10" s="1"/>
  <c r="I86" i="10"/>
  <c r="K86" i="10" s="1"/>
  <c r="I85" i="10"/>
  <c r="K85" i="10" s="1"/>
  <c r="J84" i="10"/>
  <c r="J83" i="10"/>
  <c r="U81" i="10"/>
  <c r="T81" i="10"/>
  <c r="N81" i="10"/>
  <c r="N79" i="10" s="1"/>
  <c r="M81" i="10"/>
  <c r="M79" i="10" s="1"/>
  <c r="P79" i="10" s="1"/>
  <c r="L81" i="10"/>
  <c r="U80" i="10"/>
  <c r="T80" i="10"/>
  <c r="P80" i="10"/>
  <c r="O80" i="10"/>
  <c r="S79" i="10"/>
  <c r="R79" i="10"/>
  <c r="U79" i="10" s="1"/>
  <c r="Q79" i="10"/>
  <c r="T79" i="10" s="1"/>
  <c r="S78" i="10"/>
  <c r="S75" i="10" s="1"/>
  <c r="S73" i="10" s="1"/>
  <c r="R78" i="10"/>
  <c r="R76" i="10" s="1"/>
  <c r="U76" i="10" s="1"/>
  <c r="Q78" i="10"/>
  <c r="T78" i="10" s="1"/>
  <c r="N78" i="10"/>
  <c r="M78" i="10"/>
  <c r="P78" i="10" s="1"/>
  <c r="L78" i="10"/>
  <c r="O78" i="10" s="1"/>
  <c r="U77" i="10"/>
  <c r="T77" i="10"/>
  <c r="P77" i="10"/>
  <c r="O77" i="10"/>
  <c r="U74" i="10"/>
  <c r="S74" i="10"/>
  <c r="R74" i="10"/>
  <c r="Q74" i="10"/>
  <c r="T74" i="10" s="1"/>
  <c r="N74" i="10"/>
  <c r="M74" i="10"/>
  <c r="P74" i="10" s="1"/>
  <c r="L74" i="10"/>
  <c r="O74" i="10" s="1"/>
  <c r="J72" i="10"/>
  <c r="J71" i="10"/>
  <c r="U68" i="10"/>
  <c r="T68" i="10"/>
  <c r="N68" i="10"/>
  <c r="M68" i="10"/>
  <c r="L68" i="10"/>
  <c r="O68" i="10" s="1"/>
  <c r="U67" i="10"/>
  <c r="T67" i="10"/>
  <c r="P67" i="10"/>
  <c r="O67" i="10"/>
  <c r="T66" i="10"/>
  <c r="S66" i="10"/>
  <c r="R66" i="10"/>
  <c r="U66" i="10" s="1"/>
  <c r="Q66" i="10"/>
  <c r="U65" i="10"/>
  <c r="T65" i="10"/>
  <c r="N65" i="10"/>
  <c r="N63" i="10" s="1"/>
  <c r="M65" i="10"/>
  <c r="M63" i="10" s="1"/>
  <c r="L65" i="10"/>
  <c r="U64" i="10"/>
  <c r="T64" i="10"/>
  <c r="P64" i="10"/>
  <c r="O64" i="10"/>
  <c r="U63" i="10"/>
  <c r="S63" i="10"/>
  <c r="R63" i="10"/>
  <c r="Q63" i="10"/>
  <c r="T63" i="10" s="1"/>
  <c r="U62" i="10"/>
  <c r="S62" i="10"/>
  <c r="R62" i="10"/>
  <c r="Q62" i="10"/>
  <c r="T62" i="10" s="1"/>
  <c r="U61" i="10"/>
  <c r="S61" i="10"/>
  <c r="S60" i="10" s="1"/>
  <c r="R61" i="10"/>
  <c r="Q61" i="10"/>
  <c r="T61" i="10" s="1"/>
  <c r="O61" i="10"/>
  <c r="N61" i="10"/>
  <c r="M61" i="10"/>
  <c r="L61" i="10"/>
  <c r="U60" i="10"/>
  <c r="R60" i="10"/>
  <c r="U53" i="10"/>
  <c r="T53" i="10"/>
  <c r="N53" i="10"/>
  <c r="N51" i="10" s="1"/>
  <c r="M53" i="10"/>
  <c r="M51" i="10" s="1"/>
  <c r="P51" i="10" s="1"/>
  <c r="L53" i="10"/>
  <c r="U52" i="10"/>
  <c r="T52" i="10"/>
  <c r="P52" i="10"/>
  <c r="O52" i="10"/>
  <c r="T51" i="10"/>
  <c r="S51" i="10"/>
  <c r="R51" i="10"/>
  <c r="U51" i="10" s="1"/>
  <c r="Q51" i="10"/>
  <c r="U50" i="10"/>
  <c r="T50" i="10"/>
  <c r="N50" i="10"/>
  <c r="N48" i="10" s="1"/>
  <c r="M50" i="10"/>
  <c r="L50" i="10"/>
  <c r="L48" i="10" s="1"/>
  <c r="U49" i="10"/>
  <c r="T49" i="10"/>
  <c r="P49" i="10"/>
  <c r="O49" i="10"/>
  <c r="U48" i="10"/>
  <c r="S48" i="10"/>
  <c r="R48" i="10"/>
  <c r="Q48" i="10"/>
  <c r="T48" i="10" s="1"/>
  <c r="U47" i="10"/>
  <c r="S47" i="10"/>
  <c r="R47" i="10"/>
  <c r="Q47" i="10"/>
  <c r="T47" i="10" s="1"/>
  <c r="U46" i="10"/>
  <c r="S46" i="10"/>
  <c r="R46" i="10"/>
  <c r="Q46" i="10"/>
  <c r="T46" i="10" s="1"/>
  <c r="O46" i="10"/>
  <c r="N46" i="10"/>
  <c r="M46" i="10"/>
  <c r="P46" i="10" s="1"/>
  <c r="L46" i="10"/>
  <c r="U45" i="10"/>
  <c r="S45" i="10"/>
  <c r="R45" i="10"/>
  <c r="T27" i="10"/>
  <c r="S27" i="10"/>
  <c r="R27" i="10"/>
  <c r="U27" i="10" s="1"/>
  <c r="Q27" i="10"/>
  <c r="T26" i="10"/>
  <c r="S26" i="10"/>
  <c r="S25" i="10" s="1"/>
  <c r="R26" i="10"/>
  <c r="U26" i="10" s="1"/>
  <c r="Q26" i="10"/>
  <c r="P26" i="10"/>
  <c r="N26" i="10"/>
  <c r="M26" i="10"/>
  <c r="L26" i="10"/>
  <c r="O26" i="10" s="1"/>
  <c r="T25" i="10"/>
  <c r="R25" i="10"/>
  <c r="U25" i="10" s="1"/>
  <c r="Q25" i="10"/>
  <c r="T23" i="10"/>
  <c r="S23" i="10"/>
  <c r="R23" i="10"/>
  <c r="U23" i="10" s="1"/>
  <c r="Q23" i="10"/>
  <c r="P23" i="10"/>
  <c r="N23" i="10"/>
  <c r="M23" i="10"/>
  <c r="L23" i="10"/>
  <c r="O23" i="10" s="1"/>
  <c r="T20" i="10"/>
  <c r="S20" i="10"/>
  <c r="R20" i="10"/>
  <c r="U20" i="10" s="1"/>
  <c r="Q20" i="10"/>
  <c r="P20" i="10"/>
  <c r="M20" i="10"/>
  <c r="A790" i="9"/>
  <c r="A789" i="9"/>
  <c r="J786" i="9"/>
  <c r="I786" i="9"/>
  <c r="J785" i="9"/>
  <c r="I785" i="9"/>
  <c r="J784" i="9"/>
  <c r="I784" i="9"/>
  <c r="K784" i="9" s="1"/>
  <c r="J783" i="9"/>
  <c r="I783" i="9"/>
  <c r="K783" i="9" s="1"/>
  <c r="J782" i="9"/>
  <c r="I782" i="9"/>
  <c r="J781" i="9"/>
  <c r="I781" i="9"/>
  <c r="J780" i="9"/>
  <c r="I780" i="9"/>
  <c r="J779" i="9"/>
  <c r="I779" i="9"/>
  <c r="H778" i="9"/>
  <c r="I777" i="9"/>
  <c r="I776" i="9"/>
  <c r="I775" i="9"/>
  <c r="I760" i="9" s="1"/>
  <c r="K760" i="9" s="1"/>
  <c r="I773" i="9"/>
  <c r="I759" i="9" s="1"/>
  <c r="K759" i="9" s="1"/>
  <c r="I771" i="9"/>
  <c r="K771" i="9" s="1"/>
  <c r="U769" i="9"/>
  <c r="T769" i="9"/>
  <c r="P769" i="9"/>
  <c r="O769" i="9"/>
  <c r="U768" i="9"/>
  <c r="T768" i="9"/>
  <c r="P768" i="9"/>
  <c r="O768" i="9"/>
  <c r="S767" i="9"/>
  <c r="R767" i="9"/>
  <c r="U767" i="9" s="1"/>
  <c r="Q767" i="9"/>
  <c r="T767" i="9" s="1"/>
  <c r="N767" i="9"/>
  <c r="M767" i="9"/>
  <c r="P767" i="9" s="1"/>
  <c r="L767" i="9"/>
  <c r="O767" i="9" s="1"/>
  <c r="S766" i="9"/>
  <c r="S764" i="9" s="1"/>
  <c r="R766" i="9"/>
  <c r="Q766" i="9"/>
  <c r="P766" i="9"/>
  <c r="O766" i="9"/>
  <c r="U765" i="9"/>
  <c r="T765" i="9"/>
  <c r="P765" i="9"/>
  <c r="O765" i="9"/>
  <c r="P764" i="9"/>
  <c r="O764" i="9"/>
  <c r="N764" i="9"/>
  <c r="M764" i="9"/>
  <c r="L764" i="9"/>
  <c r="N763" i="9"/>
  <c r="M763" i="9"/>
  <c r="L763" i="9"/>
  <c r="O763" i="9" s="1"/>
  <c r="S762" i="9"/>
  <c r="R762" i="9"/>
  <c r="Q762" i="9"/>
  <c r="P762" i="9"/>
  <c r="N762" i="9"/>
  <c r="M762" i="9"/>
  <c r="L762" i="9"/>
  <c r="N761" i="9"/>
  <c r="J760" i="9"/>
  <c r="J759" i="9"/>
  <c r="I756" i="9"/>
  <c r="K756" i="9" s="1"/>
  <c r="I753" i="9"/>
  <c r="K753" i="9" s="1"/>
  <c r="I750" i="9"/>
  <c r="K750" i="9" s="1"/>
  <c r="I747" i="9"/>
  <c r="K747" i="9" s="1"/>
  <c r="I745" i="9"/>
  <c r="K745" i="9" s="1"/>
  <c r="I743" i="9"/>
  <c r="K743" i="9" s="1"/>
  <c r="I741" i="9"/>
  <c r="K741" i="9" s="1"/>
  <c r="U737" i="9"/>
  <c r="T737" i="9"/>
  <c r="P737" i="9"/>
  <c r="O737" i="9"/>
  <c r="U736" i="9"/>
  <c r="T736" i="9"/>
  <c r="P736" i="9"/>
  <c r="O736" i="9"/>
  <c r="S735" i="9"/>
  <c r="R735" i="9"/>
  <c r="U735" i="9" s="1"/>
  <c r="Q735" i="9"/>
  <c r="T735" i="9" s="1"/>
  <c r="P735" i="9"/>
  <c r="N735" i="9"/>
  <c r="M735" i="9"/>
  <c r="L735" i="9"/>
  <c r="O735" i="9" s="1"/>
  <c r="S734" i="9"/>
  <c r="S731" i="9" s="1"/>
  <c r="S729" i="9" s="1"/>
  <c r="R734" i="9"/>
  <c r="R732" i="9" s="1"/>
  <c r="Q734" i="9"/>
  <c r="Q732" i="9" s="1"/>
  <c r="P734" i="9"/>
  <c r="O734" i="9"/>
  <c r="U733" i="9"/>
  <c r="T733" i="9"/>
  <c r="P733" i="9"/>
  <c r="O733" i="9"/>
  <c r="O732" i="9"/>
  <c r="N732" i="9"/>
  <c r="M732" i="9"/>
  <c r="P732" i="9" s="1"/>
  <c r="L732" i="9"/>
  <c r="N731" i="9"/>
  <c r="M731" i="9"/>
  <c r="P731" i="9" s="1"/>
  <c r="L731" i="9"/>
  <c r="U730" i="9"/>
  <c r="S730" i="9"/>
  <c r="R730" i="9"/>
  <c r="Q730" i="9"/>
  <c r="P730" i="9"/>
  <c r="O730" i="9"/>
  <c r="N730" i="9"/>
  <c r="M730" i="9"/>
  <c r="L730" i="9"/>
  <c r="N729" i="9"/>
  <c r="J728" i="9"/>
  <c r="I728" i="9"/>
  <c r="K728" i="9" s="1"/>
  <c r="J727" i="9"/>
  <c r="I727" i="9"/>
  <c r="U723" i="9"/>
  <c r="T723" i="9"/>
  <c r="P723" i="9"/>
  <c r="O723" i="9"/>
  <c r="U722" i="9"/>
  <c r="T722" i="9"/>
  <c r="P722" i="9"/>
  <c r="O722" i="9"/>
  <c r="U721" i="9"/>
  <c r="T721" i="9"/>
  <c r="S721" i="9"/>
  <c r="R721" i="9"/>
  <c r="Q721" i="9"/>
  <c r="O721" i="9"/>
  <c r="N721" i="9"/>
  <c r="M721" i="9"/>
  <c r="P721" i="9" s="1"/>
  <c r="L721" i="9"/>
  <c r="U720" i="9"/>
  <c r="T720" i="9"/>
  <c r="P720" i="9"/>
  <c r="O720" i="9"/>
  <c r="U719" i="9"/>
  <c r="T719" i="9"/>
  <c r="P719" i="9"/>
  <c r="O719" i="9"/>
  <c r="U718" i="9"/>
  <c r="T718" i="9"/>
  <c r="S718" i="9"/>
  <c r="R718" i="9"/>
  <c r="Q718" i="9"/>
  <c r="O718" i="9"/>
  <c r="N718" i="9"/>
  <c r="M718" i="9"/>
  <c r="P718" i="9" s="1"/>
  <c r="L718" i="9"/>
  <c r="S717" i="9"/>
  <c r="S715" i="9" s="1"/>
  <c r="R717" i="9"/>
  <c r="Q717" i="9"/>
  <c r="T717" i="9" s="1"/>
  <c r="N717" i="9"/>
  <c r="M717" i="9"/>
  <c r="P717" i="9" s="1"/>
  <c r="L717" i="9"/>
  <c r="U716" i="9"/>
  <c r="S716" i="9"/>
  <c r="R716" i="9"/>
  <c r="Q716" i="9"/>
  <c r="P716" i="9"/>
  <c r="O716" i="9"/>
  <c r="N716" i="9"/>
  <c r="M716" i="9"/>
  <c r="L716" i="9"/>
  <c r="N715" i="9"/>
  <c r="K713" i="9"/>
  <c r="J713" i="9"/>
  <c r="K711" i="9"/>
  <c r="J711" i="9"/>
  <c r="J710" i="9"/>
  <c r="I710" i="9"/>
  <c r="K709" i="9"/>
  <c r="J709" i="9"/>
  <c r="J708" i="9"/>
  <c r="J690" i="9" s="1"/>
  <c r="I708" i="9"/>
  <c r="I690" i="9" s="1"/>
  <c r="K690" i="9" s="1"/>
  <c r="K707" i="9"/>
  <c r="J707" i="9"/>
  <c r="J706" i="9"/>
  <c r="I706" i="9"/>
  <c r="K705" i="9"/>
  <c r="J705" i="9"/>
  <c r="J704" i="9"/>
  <c r="I704" i="9"/>
  <c r="K703" i="9"/>
  <c r="I701" i="9"/>
  <c r="K701" i="9" s="1"/>
  <c r="U699" i="9"/>
  <c r="T699" i="9"/>
  <c r="P699" i="9"/>
  <c r="O699" i="9"/>
  <c r="U698" i="9"/>
  <c r="T698" i="9"/>
  <c r="P698" i="9"/>
  <c r="O698" i="9"/>
  <c r="T697" i="9"/>
  <c r="S697" i="9"/>
  <c r="R697" i="9"/>
  <c r="U697" i="9" s="1"/>
  <c r="Q697" i="9"/>
  <c r="N697" i="9"/>
  <c r="M697" i="9"/>
  <c r="P697" i="9" s="1"/>
  <c r="L697" i="9"/>
  <c r="O697" i="9" s="1"/>
  <c r="S696" i="9"/>
  <c r="S694" i="9" s="1"/>
  <c r="R696" i="9"/>
  <c r="Q696" i="9"/>
  <c r="Q694" i="9" s="1"/>
  <c r="P696" i="9"/>
  <c r="O696" i="9"/>
  <c r="U695" i="9"/>
  <c r="T695" i="9"/>
  <c r="P695" i="9"/>
  <c r="O695" i="9"/>
  <c r="P694" i="9"/>
  <c r="O694" i="9"/>
  <c r="N694" i="9"/>
  <c r="M694" i="9"/>
  <c r="L694" i="9"/>
  <c r="O693" i="9"/>
  <c r="N693" i="9"/>
  <c r="M693" i="9"/>
  <c r="P693" i="9" s="1"/>
  <c r="L693" i="9"/>
  <c r="S692" i="9"/>
  <c r="R692" i="9"/>
  <c r="Q692" i="9"/>
  <c r="T692" i="9" s="1"/>
  <c r="N692" i="9"/>
  <c r="N691" i="9" s="1"/>
  <c r="M692" i="9"/>
  <c r="L692" i="9"/>
  <c r="J683" i="9"/>
  <c r="I683" i="9"/>
  <c r="K683" i="9" s="1"/>
  <c r="J682" i="9"/>
  <c r="I682" i="9"/>
  <c r="K682" i="9" s="1"/>
  <c r="J681" i="9"/>
  <c r="J680" i="9"/>
  <c r="I680" i="9"/>
  <c r="K680" i="9" s="1"/>
  <c r="J679" i="9"/>
  <c r="I679" i="9"/>
  <c r="K679" i="9" s="1"/>
  <c r="J678" i="9"/>
  <c r="J677" i="9"/>
  <c r="I677" i="9"/>
  <c r="K677" i="9" s="1"/>
  <c r="I676" i="9"/>
  <c r="K676" i="9" s="1"/>
  <c r="I675" i="9"/>
  <c r="K675" i="9" s="1"/>
  <c r="J674" i="9"/>
  <c r="I674" i="9"/>
  <c r="K674" i="9" s="1"/>
  <c r="J673" i="9"/>
  <c r="J672" i="9"/>
  <c r="J662" i="9"/>
  <c r="I662" i="9"/>
  <c r="K662" i="9" s="1"/>
  <c r="I661" i="9"/>
  <c r="I658" i="9"/>
  <c r="J655" i="9"/>
  <c r="I655" i="9"/>
  <c r="K655" i="9" s="1"/>
  <c r="J654" i="9"/>
  <c r="I654" i="9"/>
  <c r="K654" i="9" s="1"/>
  <c r="J653" i="9"/>
  <c r="I653" i="9"/>
  <c r="K653" i="9" s="1"/>
  <c r="U651" i="9"/>
  <c r="T651" i="9"/>
  <c r="P651" i="9"/>
  <c r="O651" i="9"/>
  <c r="U650" i="9"/>
  <c r="T650" i="9"/>
  <c r="P650" i="9"/>
  <c r="O650" i="9"/>
  <c r="T649" i="9"/>
  <c r="S649" i="9"/>
  <c r="R649" i="9"/>
  <c r="U649" i="9" s="1"/>
  <c r="Q649" i="9"/>
  <c r="N649" i="9"/>
  <c r="M649" i="9"/>
  <c r="P649" i="9" s="1"/>
  <c r="L649" i="9"/>
  <c r="O649" i="9" s="1"/>
  <c r="S648" i="9"/>
  <c r="R648" i="9"/>
  <c r="Q648" i="9"/>
  <c r="P648" i="9"/>
  <c r="O648" i="9"/>
  <c r="U647" i="9"/>
  <c r="T647" i="9"/>
  <c r="P647" i="9"/>
  <c r="O647" i="9"/>
  <c r="P646" i="9"/>
  <c r="O646" i="9"/>
  <c r="N646" i="9"/>
  <c r="M646" i="9"/>
  <c r="L646" i="9"/>
  <c r="O645" i="9"/>
  <c r="N645" i="9"/>
  <c r="M645" i="9"/>
  <c r="P645" i="9" s="1"/>
  <c r="L645" i="9"/>
  <c r="S644" i="9"/>
  <c r="R644" i="9"/>
  <c r="Q644" i="9"/>
  <c r="N644" i="9"/>
  <c r="N643" i="9" s="1"/>
  <c r="M644" i="9"/>
  <c r="L644" i="9"/>
  <c r="J637" i="9"/>
  <c r="J636" i="9"/>
  <c r="I636" i="9"/>
  <c r="K636" i="9" s="1"/>
  <c r="J633" i="9"/>
  <c r="I629" i="9"/>
  <c r="K629" i="9" s="1"/>
  <c r="I628" i="9"/>
  <c r="K628" i="9" s="1"/>
  <c r="J627" i="9"/>
  <c r="I627" i="9"/>
  <c r="K633" i="9" s="1"/>
  <c r="U625" i="9"/>
  <c r="T625" i="9"/>
  <c r="P625" i="9"/>
  <c r="O625" i="9"/>
  <c r="U624" i="9"/>
  <c r="T624" i="9"/>
  <c r="P624" i="9"/>
  <c r="O624" i="9"/>
  <c r="U623" i="9"/>
  <c r="T623" i="9"/>
  <c r="S623" i="9"/>
  <c r="R623" i="9"/>
  <c r="Q623" i="9"/>
  <c r="O623" i="9"/>
  <c r="N623" i="9"/>
  <c r="M623" i="9"/>
  <c r="P623" i="9" s="1"/>
  <c r="L623" i="9"/>
  <c r="S622" i="9"/>
  <c r="R622" i="9"/>
  <c r="R620" i="9" s="1"/>
  <c r="Q622" i="9"/>
  <c r="Q620" i="9" s="1"/>
  <c r="P622" i="9"/>
  <c r="O622" i="9"/>
  <c r="U621" i="9"/>
  <c r="T621" i="9"/>
  <c r="P621" i="9"/>
  <c r="O621" i="9"/>
  <c r="P620" i="9"/>
  <c r="N620" i="9"/>
  <c r="M620" i="9"/>
  <c r="L620" i="9"/>
  <c r="O620" i="9" s="1"/>
  <c r="P619" i="9"/>
  <c r="O619" i="9"/>
  <c r="N619" i="9"/>
  <c r="M619" i="9"/>
  <c r="L619" i="9"/>
  <c r="T618" i="9"/>
  <c r="S618" i="9"/>
  <c r="R618" i="9"/>
  <c r="U618" i="9" s="1"/>
  <c r="Q618" i="9"/>
  <c r="N618" i="9"/>
  <c r="N617" i="9" s="1"/>
  <c r="M618" i="9"/>
  <c r="L618" i="9"/>
  <c r="J616" i="9"/>
  <c r="U608" i="9"/>
  <c r="T608" i="9"/>
  <c r="P608" i="9"/>
  <c r="O608" i="9"/>
  <c r="U607" i="9"/>
  <c r="T607" i="9"/>
  <c r="P607" i="9"/>
  <c r="O607" i="9"/>
  <c r="U606" i="9"/>
  <c r="T606" i="9"/>
  <c r="S606" i="9"/>
  <c r="R606" i="9"/>
  <c r="Q606" i="9"/>
  <c r="O606" i="9"/>
  <c r="N606" i="9"/>
  <c r="M606" i="9"/>
  <c r="P606" i="9" s="1"/>
  <c r="L606" i="9"/>
  <c r="U605" i="9"/>
  <c r="T605" i="9"/>
  <c r="P605" i="9"/>
  <c r="O605" i="9"/>
  <c r="U604" i="9"/>
  <c r="T604" i="9"/>
  <c r="P604" i="9"/>
  <c r="O604" i="9"/>
  <c r="U603" i="9"/>
  <c r="T603" i="9"/>
  <c r="S603" i="9"/>
  <c r="R603" i="9"/>
  <c r="Q603" i="9"/>
  <c r="O603" i="9"/>
  <c r="N603" i="9"/>
  <c r="M603" i="9"/>
  <c r="P603" i="9" s="1"/>
  <c r="L603" i="9"/>
  <c r="S602" i="9"/>
  <c r="S600" i="9" s="1"/>
  <c r="R602" i="9"/>
  <c r="Q602" i="9"/>
  <c r="T602" i="9" s="1"/>
  <c r="N602" i="9"/>
  <c r="M602" i="9"/>
  <c r="P602" i="9" s="1"/>
  <c r="L602" i="9"/>
  <c r="U601" i="9"/>
  <c r="S601" i="9"/>
  <c r="R601" i="9"/>
  <c r="Q601" i="9"/>
  <c r="P601" i="9"/>
  <c r="O601" i="9"/>
  <c r="N601" i="9"/>
  <c r="M601" i="9"/>
  <c r="L601" i="9"/>
  <c r="N600" i="9"/>
  <c r="U585" i="9"/>
  <c r="T585" i="9"/>
  <c r="P585" i="9"/>
  <c r="O585" i="9"/>
  <c r="U584" i="9"/>
  <c r="T584" i="9"/>
  <c r="P584" i="9"/>
  <c r="O584" i="9"/>
  <c r="U583" i="9"/>
  <c r="T583" i="9"/>
  <c r="S583" i="9"/>
  <c r="R583" i="9"/>
  <c r="Q583" i="9"/>
  <c r="O583" i="9"/>
  <c r="N583" i="9"/>
  <c r="M583" i="9"/>
  <c r="P583" i="9" s="1"/>
  <c r="L583" i="9"/>
  <c r="U582" i="9"/>
  <c r="T582" i="9"/>
  <c r="P582" i="9"/>
  <c r="O582" i="9"/>
  <c r="U581" i="9"/>
  <c r="T581" i="9"/>
  <c r="P581" i="9"/>
  <c r="O581" i="9"/>
  <c r="U580" i="9"/>
  <c r="T580" i="9"/>
  <c r="S580" i="9"/>
  <c r="R580" i="9"/>
  <c r="Q580" i="9"/>
  <c r="O580" i="9"/>
  <c r="N580" i="9"/>
  <c r="M580" i="9"/>
  <c r="P580" i="9" s="1"/>
  <c r="L580" i="9"/>
  <c r="S579" i="9"/>
  <c r="R579" i="9"/>
  <c r="Q579" i="9"/>
  <c r="T579" i="9" s="1"/>
  <c r="N579" i="9"/>
  <c r="M579" i="9"/>
  <c r="P579" i="9" s="1"/>
  <c r="L579" i="9"/>
  <c r="U578" i="9"/>
  <c r="S578" i="9"/>
  <c r="R578" i="9"/>
  <c r="Q578" i="9"/>
  <c r="P578" i="9"/>
  <c r="O578" i="9"/>
  <c r="N578" i="9"/>
  <c r="M578" i="9"/>
  <c r="L578" i="9"/>
  <c r="S577" i="9"/>
  <c r="N577" i="9"/>
  <c r="J576" i="9"/>
  <c r="I576" i="9"/>
  <c r="K576" i="9" s="1"/>
  <c r="U564" i="9"/>
  <c r="T564" i="9"/>
  <c r="P564" i="9"/>
  <c r="O564" i="9"/>
  <c r="U563" i="9"/>
  <c r="T563" i="9"/>
  <c r="P563" i="9"/>
  <c r="O563" i="9"/>
  <c r="S562" i="9"/>
  <c r="R562" i="9"/>
  <c r="U562" i="9" s="1"/>
  <c r="Q562" i="9"/>
  <c r="T562" i="9" s="1"/>
  <c r="P562" i="9"/>
  <c r="N562" i="9"/>
  <c r="M562" i="9"/>
  <c r="L562" i="9"/>
  <c r="O562" i="9" s="1"/>
  <c r="U561" i="9"/>
  <c r="T561" i="9"/>
  <c r="P561" i="9"/>
  <c r="O561" i="9"/>
  <c r="U560" i="9"/>
  <c r="T560" i="9"/>
  <c r="P560" i="9"/>
  <c r="O560" i="9"/>
  <c r="S559" i="9"/>
  <c r="R559" i="9"/>
  <c r="U559" i="9" s="1"/>
  <c r="Q559" i="9"/>
  <c r="T559" i="9" s="1"/>
  <c r="P559" i="9"/>
  <c r="N559" i="9"/>
  <c r="M559" i="9"/>
  <c r="L559" i="9"/>
  <c r="O559" i="9" s="1"/>
  <c r="U558" i="9"/>
  <c r="T558" i="9"/>
  <c r="S558" i="9"/>
  <c r="R558" i="9"/>
  <c r="Q558" i="9"/>
  <c r="P558" i="9"/>
  <c r="O558" i="9"/>
  <c r="N558" i="9"/>
  <c r="M558" i="9"/>
  <c r="L558" i="9"/>
  <c r="T557" i="9"/>
  <c r="S557" i="9"/>
  <c r="S556" i="9" s="1"/>
  <c r="R557" i="9"/>
  <c r="Q557" i="9"/>
  <c r="N557" i="9"/>
  <c r="M557" i="9"/>
  <c r="L557" i="9"/>
  <c r="O557" i="9" s="1"/>
  <c r="Q556" i="9"/>
  <c r="T556" i="9" s="1"/>
  <c r="K555" i="9"/>
  <c r="J555" i="9"/>
  <c r="I555" i="9"/>
  <c r="U543" i="9"/>
  <c r="T543" i="9"/>
  <c r="P543" i="9"/>
  <c r="O543" i="9"/>
  <c r="U542" i="9"/>
  <c r="T542" i="9"/>
  <c r="P542" i="9"/>
  <c r="O542" i="9"/>
  <c r="U541" i="9"/>
  <c r="T541" i="9"/>
  <c r="S541" i="9"/>
  <c r="R541" i="9"/>
  <c r="Q541" i="9"/>
  <c r="O541" i="9"/>
  <c r="N541" i="9"/>
  <c r="M541" i="9"/>
  <c r="P541" i="9" s="1"/>
  <c r="L541" i="9"/>
  <c r="U540" i="9"/>
  <c r="T540" i="9"/>
  <c r="P540" i="9"/>
  <c r="O540" i="9"/>
  <c r="U539" i="9"/>
  <c r="T539" i="9"/>
  <c r="P539" i="9"/>
  <c r="O539" i="9"/>
  <c r="U538" i="9"/>
  <c r="T538" i="9"/>
  <c r="S538" i="9"/>
  <c r="R538" i="9"/>
  <c r="Q538" i="9"/>
  <c r="O538" i="9"/>
  <c r="N538" i="9"/>
  <c r="M538" i="9"/>
  <c r="P538" i="9" s="1"/>
  <c r="L538" i="9"/>
  <c r="S537" i="9"/>
  <c r="S535" i="9" s="1"/>
  <c r="R537" i="9"/>
  <c r="Q537" i="9"/>
  <c r="T537" i="9" s="1"/>
  <c r="N537" i="9"/>
  <c r="M537" i="9"/>
  <c r="P537" i="9" s="1"/>
  <c r="L537" i="9"/>
  <c r="U536" i="9"/>
  <c r="S536" i="9"/>
  <c r="R536" i="9"/>
  <c r="Q536" i="9"/>
  <c r="P536" i="9"/>
  <c r="O536" i="9"/>
  <c r="N536" i="9"/>
  <c r="M536" i="9"/>
  <c r="L536" i="9"/>
  <c r="N535" i="9"/>
  <c r="M535" i="9"/>
  <c r="P535" i="9" s="1"/>
  <c r="J534" i="9"/>
  <c r="I534" i="9"/>
  <c r="K534" i="9" s="1"/>
  <c r="K525" i="9"/>
  <c r="K524" i="9"/>
  <c r="U522" i="9"/>
  <c r="T522" i="9"/>
  <c r="N522" i="9"/>
  <c r="M522" i="9"/>
  <c r="L522" i="9"/>
  <c r="L520" i="9" s="1"/>
  <c r="O520" i="9" s="1"/>
  <c r="U521" i="9"/>
  <c r="T521" i="9"/>
  <c r="P521" i="9"/>
  <c r="O521" i="9"/>
  <c r="U520" i="9"/>
  <c r="S520" i="9"/>
  <c r="R520" i="9"/>
  <c r="Q520" i="9"/>
  <c r="T520" i="9" s="1"/>
  <c r="U519" i="9"/>
  <c r="T519" i="9"/>
  <c r="N519" i="9"/>
  <c r="N517" i="9" s="1"/>
  <c r="M519" i="9"/>
  <c r="M517" i="9" s="1"/>
  <c r="P517" i="9" s="1"/>
  <c r="L519" i="9"/>
  <c r="O519" i="9" s="1"/>
  <c r="U518" i="9"/>
  <c r="T518" i="9"/>
  <c r="P518" i="9"/>
  <c r="O518" i="9"/>
  <c r="T517" i="9"/>
  <c r="S517" i="9"/>
  <c r="R517" i="9"/>
  <c r="U517" i="9" s="1"/>
  <c r="Q517" i="9"/>
  <c r="S516" i="9"/>
  <c r="R516" i="9"/>
  <c r="U516" i="9" s="1"/>
  <c r="Q516" i="9"/>
  <c r="U515" i="9"/>
  <c r="T515" i="9"/>
  <c r="S515" i="9"/>
  <c r="R515" i="9"/>
  <c r="Q515" i="9"/>
  <c r="P515" i="9"/>
  <c r="O515" i="9"/>
  <c r="N515" i="9"/>
  <c r="M515" i="9"/>
  <c r="L515" i="9"/>
  <c r="S514" i="9"/>
  <c r="K513" i="9"/>
  <c r="J513" i="9"/>
  <c r="I513" i="9"/>
  <c r="I510" i="9"/>
  <c r="K510" i="9" s="1"/>
  <c r="K509" i="9"/>
  <c r="I508" i="9"/>
  <c r="K508" i="9" s="1"/>
  <c r="I507" i="9"/>
  <c r="K507" i="9" s="1"/>
  <c r="I506" i="9"/>
  <c r="K506" i="9" s="1"/>
  <c r="I505" i="9"/>
  <c r="K505" i="9" s="1"/>
  <c r="I504" i="9"/>
  <c r="K504" i="9" s="1"/>
  <c r="U502" i="9"/>
  <c r="T502" i="9"/>
  <c r="P502" i="9"/>
  <c r="O502" i="9"/>
  <c r="U501" i="9"/>
  <c r="T501" i="9"/>
  <c r="P501" i="9"/>
  <c r="O501" i="9"/>
  <c r="S500" i="9"/>
  <c r="R500" i="9"/>
  <c r="U500" i="9" s="1"/>
  <c r="Q500" i="9"/>
  <c r="T500" i="9" s="1"/>
  <c r="N500" i="9"/>
  <c r="M500" i="9"/>
  <c r="P500" i="9" s="1"/>
  <c r="L500" i="9"/>
  <c r="O500" i="9" s="1"/>
  <c r="S499" i="9"/>
  <c r="S496" i="9" s="1"/>
  <c r="S494" i="9" s="1"/>
  <c r="R499" i="9"/>
  <c r="R497" i="9" s="1"/>
  <c r="U497" i="9" s="1"/>
  <c r="Q499" i="9"/>
  <c r="P499" i="9"/>
  <c r="O499" i="9"/>
  <c r="U498" i="9"/>
  <c r="T498" i="9"/>
  <c r="P498" i="9"/>
  <c r="O498" i="9"/>
  <c r="P497" i="9"/>
  <c r="O497" i="9"/>
  <c r="N497" i="9"/>
  <c r="M497" i="9"/>
  <c r="L497" i="9"/>
  <c r="N496" i="9"/>
  <c r="M496" i="9"/>
  <c r="L496" i="9"/>
  <c r="O496" i="9" s="1"/>
  <c r="S495" i="9"/>
  <c r="R495" i="9"/>
  <c r="Q495" i="9"/>
  <c r="P495" i="9"/>
  <c r="N495" i="9"/>
  <c r="M495" i="9"/>
  <c r="L495" i="9"/>
  <c r="N494" i="9"/>
  <c r="K486" i="9"/>
  <c r="J486" i="9"/>
  <c r="I486" i="9"/>
  <c r="J485" i="9"/>
  <c r="I485" i="9"/>
  <c r="K485" i="9" s="1"/>
  <c r="J484" i="9"/>
  <c r="J483" i="9"/>
  <c r="K478" i="9"/>
  <c r="J478" i="9"/>
  <c r="K477" i="9"/>
  <c r="J477" i="9"/>
  <c r="K476" i="9"/>
  <c r="J476" i="9"/>
  <c r="J469" i="9"/>
  <c r="J468" i="9"/>
  <c r="J461" i="9"/>
  <c r="J459" i="9" s="1"/>
  <c r="J460" i="9"/>
  <c r="J458" i="9" s="1"/>
  <c r="J457" i="9" s="1"/>
  <c r="I459" i="9"/>
  <c r="K459" i="9" s="1"/>
  <c r="I458" i="9"/>
  <c r="J448" i="9"/>
  <c r="J447" i="9"/>
  <c r="J441" i="9" s="1"/>
  <c r="J424" i="9" s="1"/>
  <c r="J413" i="9" s="1"/>
  <c r="J442" i="9"/>
  <c r="I442" i="9"/>
  <c r="K442" i="9" s="1"/>
  <c r="I441" i="9"/>
  <c r="J434" i="9"/>
  <c r="I434" i="9"/>
  <c r="K434" i="9" s="1"/>
  <c r="J433" i="9"/>
  <c r="I433" i="9"/>
  <c r="K433" i="9" s="1"/>
  <c r="J426" i="9"/>
  <c r="I426" i="9"/>
  <c r="K426" i="9" s="1"/>
  <c r="J425" i="9"/>
  <c r="I425" i="9"/>
  <c r="K425" i="9" s="1"/>
  <c r="U422" i="9"/>
  <c r="T422" i="9"/>
  <c r="P422" i="9"/>
  <c r="O422" i="9"/>
  <c r="U421" i="9"/>
  <c r="T421" i="9"/>
  <c r="P421" i="9"/>
  <c r="O421" i="9"/>
  <c r="U420" i="9"/>
  <c r="T420" i="9"/>
  <c r="S420" i="9"/>
  <c r="R420" i="9"/>
  <c r="Q420" i="9"/>
  <c r="O420" i="9"/>
  <c r="N420" i="9"/>
  <c r="M420" i="9"/>
  <c r="P420" i="9" s="1"/>
  <c r="L420" i="9"/>
  <c r="S419" i="9"/>
  <c r="R419" i="9"/>
  <c r="Q419" i="9"/>
  <c r="P419" i="9"/>
  <c r="O419" i="9"/>
  <c r="U418" i="9"/>
  <c r="T418" i="9"/>
  <c r="P418" i="9"/>
  <c r="O418" i="9"/>
  <c r="P417" i="9"/>
  <c r="N417" i="9"/>
  <c r="M417" i="9"/>
  <c r="L417" i="9"/>
  <c r="O417" i="9" s="1"/>
  <c r="P416" i="9"/>
  <c r="O416" i="9"/>
  <c r="N416" i="9"/>
  <c r="M416" i="9"/>
  <c r="L416" i="9"/>
  <c r="S415" i="9"/>
  <c r="R415" i="9"/>
  <c r="U415" i="9" s="1"/>
  <c r="Q415" i="9"/>
  <c r="T415" i="9" s="1"/>
  <c r="P415" i="9"/>
  <c r="N415" i="9"/>
  <c r="M415" i="9"/>
  <c r="M414" i="9" s="1"/>
  <c r="P414" i="9" s="1"/>
  <c r="L415" i="9"/>
  <c r="O415" i="9" s="1"/>
  <c r="N414" i="9"/>
  <c r="U401" i="9"/>
  <c r="T401" i="9"/>
  <c r="P401" i="9"/>
  <c r="O401" i="9"/>
  <c r="U400" i="9"/>
  <c r="T400" i="9"/>
  <c r="P400" i="9"/>
  <c r="O400" i="9"/>
  <c r="S399" i="9"/>
  <c r="R399" i="9"/>
  <c r="U399" i="9" s="1"/>
  <c r="Q399" i="9"/>
  <c r="T399" i="9" s="1"/>
  <c r="N399" i="9"/>
  <c r="M399" i="9"/>
  <c r="P399" i="9" s="1"/>
  <c r="L399" i="9"/>
  <c r="O399" i="9" s="1"/>
  <c r="U398" i="9"/>
  <c r="T398" i="9"/>
  <c r="P398" i="9"/>
  <c r="O398" i="9"/>
  <c r="U397" i="9"/>
  <c r="T397" i="9"/>
  <c r="P397" i="9"/>
  <c r="O397" i="9"/>
  <c r="S396" i="9"/>
  <c r="R396" i="9"/>
  <c r="U396" i="9" s="1"/>
  <c r="Q396" i="9"/>
  <c r="T396" i="9" s="1"/>
  <c r="N396" i="9"/>
  <c r="M396" i="9"/>
  <c r="P396" i="9" s="1"/>
  <c r="L396" i="9"/>
  <c r="O396" i="9" s="1"/>
  <c r="U395" i="9"/>
  <c r="S395" i="9"/>
  <c r="R395" i="9"/>
  <c r="Q395" i="9"/>
  <c r="T395" i="9" s="1"/>
  <c r="P395" i="9"/>
  <c r="O395" i="9"/>
  <c r="N395" i="9"/>
  <c r="M395" i="9"/>
  <c r="L395" i="9"/>
  <c r="U394" i="9"/>
  <c r="T394" i="9"/>
  <c r="S394" i="9"/>
  <c r="S393" i="9" s="1"/>
  <c r="R394" i="9"/>
  <c r="Q394" i="9"/>
  <c r="O394" i="9"/>
  <c r="N394" i="9"/>
  <c r="N393" i="9" s="1"/>
  <c r="M394" i="9"/>
  <c r="L394" i="9"/>
  <c r="R393" i="9"/>
  <c r="U393" i="9" s="1"/>
  <c r="Q393" i="9"/>
  <c r="T393" i="9" s="1"/>
  <c r="L393" i="9"/>
  <c r="O393" i="9" s="1"/>
  <c r="K392" i="9"/>
  <c r="J392" i="9"/>
  <c r="I392" i="9"/>
  <c r="K389" i="9"/>
  <c r="K388" i="9"/>
  <c r="I387" i="9"/>
  <c r="K387" i="9" s="1"/>
  <c r="I386" i="9"/>
  <c r="K386" i="9" s="1"/>
  <c r="U384" i="9"/>
  <c r="T384" i="9"/>
  <c r="P384" i="9"/>
  <c r="O384" i="9"/>
  <c r="U383" i="9"/>
  <c r="T383" i="9"/>
  <c r="P383" i="9"/>
  <c r="O383" i="9"/>
  <c r="U382" i="9"/>
  <c r="T382" i="9"/>
  <c r="S382" i="9"/>
  <c r="R382" i="9"/>
  <c r="Q382" i="9"/>
  <c r="P382" i="9"/>
  <c r="O382" i="9"/>
  <c r="N382" i="9"/>
  <c r="M382" i="9"/>
  <c r="L382" i="9"/>
  <c r="S381" i="9"/>
  <c r="S378" i="9" s="1"/>
  <c r="R381" i="9"/>
  <c r="Q381" i="9"/>
  <c r="P381" i="9"/>
  <c r="O381" i="9"/>
  <c r="U380" i="9"/>
  <c r="T380" i="9"/>
  <c r="P380" i="9"/>
  <c r="O380" i="9"/>
  <c r="N379" i="9"/>
  <c r="M379" i="9"/>
  <c r="P379" i="9" s="1"/>
  <c r="L379" i="9"/>
  <c r="O379" i="9" s="1"/>
  <c r="P378" i="9"/>
  <c r="O378" i="9"/>
  <c r="N378" i="9"/>
  <c r="M378" i="9"/>
  <c r="L378" i="9"/>
  <c r="U377" i="9"/>
  <c r="T377" i="9"/>
  <c r="S377" i="9"/>
  <c r="R377" i="9"/>
  <c r="Q377" i="9"/>
  <c r="O377" i="9"/>
  <c r="N377" i="9"/>
  <c r="N376" i="9" s="1"/>
  <c r="M377" i="9"/>
  <c r="L377" i="9"/>
  <c r="L376" i="9"/>
  <c r="O376" i="9" s="1"/>
  <c r="J375" i="9"/>
  <c r="D374" i="9"/>
  <c r="K373" i="9"/>
  <c r="J373" i="9"/>
  <c r="J372" i="9"/>
  <c r="I372" i="9"/>
  <c r="I366" i="9" s="1"/>
  <c r="K371" i="9"/>
  <c r="J371" i="9"/>
  <c r="J370" i="9"/>
  <c r="I370" i="9"/>
  <c r="J369" i="9"/>
  <c r="I369" i="9"/>
  <c r="K368" i="9"/>
  <c r="J368" i="9"/>
  <c r="U365" i="9"/>
  <c r="T365" i="9"/>
  <c r="N365" i="9"/>
  <c r="N363" i="9" s="1"/>
  <c r="M365" i="9"/>
  <c r="L365" i="9"/>
  <c r="O365" i="9" s="1"/>
  <c r="U364" i="9"/>
  <c r="T364" i="9"/>
  <c r="P364" i="9"/>
  <c r="O364" i="9"/>
  <c r="T363" i="9"/>
  <c r="S363" i="9"/>
  <c r="R363" i="9"/>
  <c r="U363" i="9" s="1"/>
  <c r="Q363" i="9"/>
  <c r="U362" i="9"/>
  <c r="T362" i="9"/>
  <c r="N362" i="9"/>
  <c r="N360" i="9" s="1"/>
  <c r="M362" i="9"/>
  <c r="L362" i="9"/>
  <c r="L360" i="9" s="1"/>
  <c r="U361" i="9"/>
  <c r="T361" i="9"/>
  <c r="P361" i="9"/>
  <c r="O361" i="9"/>
  <c r="U360" i="9"/>
  <c r="S360" i="9"/>
  <c r="R360" i="9"/>
  <c r="Q360" i="9"/>
  <c r="T360" i="9" s="1"/>
  <c r="U359" i="9"/>
  <c r="T359" i="9"/>
  <c r="S359" i="9"/>
  <c r="R359" i="9"/>
  <c r="Q359" i="9"/>
  <c r="S358" i="9"/>
  <c r="R358" i="9"/>
  <c r="U358" i="9" s="1"/>
  <c r="Q358" i="9"/>
  <c r="N358" i="9"/>
  <c r="M358" i="9"/>
  <c r="P358" i="9" s="1"/>
  <c r="L358" i="9"/>
  <c r="O358" i="9" s="1"/>
  <c r="D355" i="9"/>
  <c r="J354" i="9"/>
  <c r="J353" i="9"/>
  <c r="D351" i="9"/>
  <c r="J350" i="9"/>
  <c r="J349" i="9"/>
  <c r="J348" i="9"/>
  <c r="J347" i="9"/>
  <c r="I347" i="9"/>
  <c r="J345" i="9"/>
  <c r="I345" i="9"/>
  <c r="I333" i="9" s="1"/>
  <c r="U342" i="9"/>
  <c r="T342" i="9"/>
  <c r="N342" i="9"/>
  <c r="N340" i="9" s="1"/>
  <c r="M342" i="9"/>
  <c r="L342" i="9"/>
  <c r="O342" i="9" s="1"/>
  <c r="U341" i="9"/>
  <c r="T341" i="9"/>
  <c r="P341" i="9"/>
  <c r="O341" i="9"/>
  <c r="U340" i="9"/>
  <c r="S340" i="9"/>
  <c r="R340" i="9"/>
  <c r="Q340" i="9"/>
  <c r="T340" i="9" s="1"/>
  <c r="U339" i="9"/>
  <c r="T339" i="9"/>
  <c r="N339" i="9"/>
  <c r="N337" i="9" s="1"/>
  <c r="M339" i="9"/>
  <c r="M337" i="9" s="1"/>
  <c r="L339" i="9"/>
  <c r="U338" i="9"/>
  <c r="T338" i="9"/>
  <c r="P338" i="9"/>
  <c r="O338" i="9"/>
  <c r="T337" i="9"/>
  <c r="S337" i="9"/>
  <c r="R337" i="9"/>
  <c r="U337" i="9" s="1"/>
  <c r="Q337" i="9"/>
  <c r="S336" i="9"/>
  <c r="R336" i="9"/>
  <c r="U336" i="9" s="1"/>
  <c r="Q336" i="9"/>
  <c r="T336" i="9" s="1"/>
  <c r="U335" i="9"/>
  <c r="T335" i="9"/>
  <c r="S335" i="9"/>
  <c r="R335" i="9"/>
  <c r="Q335" i="9"/>
  <c r="Q334" i="9" s="1"/>
  <c r="T334" i="9" s="1"/>
  <c r="P335" i="9"/>
  <c r="O335" i="9"/>
  <c r="N335" i="9"/>
  <c r="M335" i="9"/>
  <c r="L335" i="9"/>
  <c r="S334" i="9"/>
  <c r="R334" i="9"/>
  <c r="U334" i="9" s="1"/>
  <c r="I331" i="9"/>
  <c r="K331" i="9" s="1"/>
  <c r="U329" i="9"/>
  <c r="T329" i="9"/>
  <c r="N329" i="9"/>
  <c r="N327" i="9" s="1"/>
  <c r="M329" i="9"/>
  <c r="M327" i="9" s="1"/>
  <c r="P327" i="9" s="1"/>
  <c r="L329" i="9"/>
  <c r="U328" i="9"/>
  <c r="T328" i="9"/>
  <c r="P328" i="9"/>
  <c r="O328" i="9"/>
  <c r="U327" i="9"/>
  <c r="T327" i="9"/>
  <c r="S327" i="9"/>
  <c r="R327" i="9"/>
  <c r="Q327" i="9"/>
  <c r="U326" i="9"/>
  <c r="T326" i="9"/>
  <c r="N326" i="9"/>
  <c r="N324" i="9" s="1"/>
  <c r="M326" i="9"/>
  <c r="L326" i="9"/>
  <c r="O326" i="9" s="1"/>
  <c r="U325" i="9"/>
  <c r="T325" i="9"/>
  <c r="P325" i="9"/>
  <c r="O325" i="9"/>
  <c r="S324" i="9"/>
  <c r="R324" i="9"/>
  <c r="U324" i="9" s="1"/>
  <c r="Q324" i="9"/>
  <c r="T324" i="9" s="1"/>
  <c r="U323" i="9"/>
  <c r="S323" i="9"/>
  <c r="R323" i="9"/>
  <c r="Q323" i="9"/>
  <c r="T323" i="9" s="1"/>
  <c r="U322" i="9"/>
  <c r="T322" i="9"/>
  <c r="S322" i="9"/>
  <c r="S321" i="9" s="1"/>
  <c r="R322" i="9"/>
  <c r="Q322" i="9"/>
  <c r="O322" i="9"/>
  <c r="N322" i="9"/>
  <c r="M322" i="9"/>
  <c r="L322" i="9"/>
  <c r="R321" i="9"/>
  <c r="U321" i="9" s="1"/>
  <c r="Q321" i="9"/>
  <c r="T321" i="9" s="1"/>
  <c r="J320" i="9"/>
  <c r="I315" i="9"/>
  <c r="K315" i="9" s="1"/>
  <c r="U312" i="9"/>
  <c r="T312" i="9"/>
  <c r="N312" i="9"/>
  <c r="N310" i="9" s="1"/>
  <c r="M312" i="9"/>
  <c r="P312" i="9" s="1"/>
  <c r="L312" i="9"/>
  <c r="L310" i="9" s="1"/>
  <c r="O310" i="9" s="1"/>
  <c r="U311" i="9"/>
  <c r="T311" i="9"/>
  <c r="P311" i="9"/>
  <c r="O311" i="9"/>
  <c r="U310" i="9"/>
  <c r="T310" i="9"/>
  <c r="S310" i="9"/>
  <c r="R310" i="9"/>
  <c r="Q310" i="9"/>
  <c r="S309" i="9"/>
  <c r="S307" i="9" s="1"/>
  <c r="R309" i="9"/>
  <c r="R307" i="9" s="1"/>
  <c r="Q309" i="9"/>
  <c r="Q306" i="9" s="1"/>
  <c r="N309" i="9"/>
  <c r="M309" i="9"/>
  <c r="L309" i="9"/>
  <c r="U308" i="9"/>
  <c r="T308" i="9"/>
  <c r="P308" i="9"/>
  <c r="O308" i="9"/>
  <c r="M307" i="9"/>
  <c r="U305" i="9"/>
  <c r="S305" i="9"/>
  <c r="R305" i="9"/>
  <c r="Q305" i="9"/>
  <c r="T305" i="9" s="1"/>
  <c r="P305" i="9"/>
  <c r="O305" i="9"/>
  <c r="N305" i="9"/>
  <c r="M305" i="9"/>
  <c r="L305" i="9"/>
  <c r="J303" i="9"/>
  <c r="I297" i="9"/>
  <c r="K297" i="9" s="1"/>
  <c r="I296" i="9"/>
  <c r="K296" i="9" s="1"/>
  <c r="J294" i="9"/>
  <c r="I294" i="9"/>
  <c r="K294" i="9" s="1"/>
  <c r="I293" i="9"/>
  <c r="I282" i="9" s="1"/>
  <c r="K282" i="9" s="1"/>
  <c r="U291" i="9"/>
  <c r="T291" i="9"/>
  <c r="N291" i="9"/>
  <c r="M291" i="9"/>
  <c r="L291" i="9"/>
  <c r="O291" i="9" s="1"/>
  <c r="U290" i="9"/>
  <c r="T290" i="9"/>
  <c r="P290" i="9"/>
  <c r="O290" i="9"/>
  <c r="S289" i="9"/>
  <c r="R289" i="9"/>
  <c r="U289" i="9" s="1"/>
  <c r="Q289" i="9"/>
  <c r="T289" i="9" s="1"/>
  <c r="U288" i="9"/>
  <c r="T288" i="9"/>
  <c r="N288" i="9"/>
  <c r="N286" i="9" s="1"/>
  <c r="M288" i="9"/>
  <c r="P288" i="9" s="1"/>
  <c r="L288" i="9"/>
  <c r="L286" i="9" s="1"/>
  <c r="O286" i="9" s="1"/>
  <c r="U287" i="9"/>
  <c r="T287" i="9"/>
  <c r="P287" i="9"/>
  <c r="O287" i="9"/>
  <c r="U286" i="9"/>
  <c r="T286" i="9"/>
  <c r="S286" i="9"/>
  <c r="R286" i="9"/>
  <c r="Q286" i="9"/>
  <c r="S285" i="9"/>
  <c r="R285" i="9"/>
  <c r="U285" i="9" s="1"/>
  <c r="Q285" i="9"/>
  <c r="T285" i="9" s="1"/>
  <c r="U284" i="9"/>
  <c r="S284" i="9"/>
  <c r="R284" i="9"/>
  <c r="R283" i="9" s="1"/>
  <c r="U283" i="9" s="1"/>
  <c r="Q284" i="9"/>
  <c r="T284" i="9" s="1"/>
  <c r="P284" i="9"/>
  <c r="O284" i="9"/>
  <c r="N284" i="9"/>
  <c r="M284" i="9"/>
  <c r="L284" i="9"/>
  <c r="S283" i="9"/>
  <c r="J282" i="9"/>
  <c r="J281" i="9"/>
  <c r="I277" i="9"/>
  <c r="U275" i="9"/>
  <c r="T275" i="9"/>
  <c r="N275" i="9"/>
  <c r="N273" i="9" s="1"/>
  <c r="M275" i="9"/>
  <c r="L275" i="9"/>
  <c r="O275" i="9" s="1"/>
  <c r="U274" i="9"/>
  <c r="T274" i="9"/>
  <c r="P274" i="9"/>
  <c r="O274" i="9"/>
  <c r="T273" i="9"/>
  <c r="S273" i="9"/>
  <c r="R273" i="9"/>
  <c r="U273" i="9" s="1"/>
  <c r="Q273" i="9"/>
  <c r="S272" i="9"/>
  <c r="S269" i="9" s="1"/>
  <c r="S267" i="9" s="1"/>
  <c r="R272" i="9"/>
  <c r="Q272" i="9"/>
  <c r="Q270" i="9" s="1"/>
  <c r="N272" i="9"/>
  <c r="N270" i="9" s="1"/>
  <c r="M272" i="9"/>
  <c r="L272" i="9"/>
  <c r="U271" i="9"/>
  <c r="T271" i="9"/>
  <c r="P271" i="9"/>
  <c r="O271" i="9"/>
  <c r="U268" i="9"/>
  <c r="T268" i="9"/>
  <c r="S268" i="9"/>
  <c r="R268" i="9"/>
  <c r="Q268" i="9"/>
  <c r="P268" i="9"/>
  <c r="O268" i="9"/>
  <c r="N268" i="9"/>
  <c r="M268" i="9"/>
  <c r="L268" i="9"/>
  <c r="J266" i="9"/>
  <c r="K264" i="9"/>
  <c r="K263" i="9"/>
  <c r="I261" i="9"/>
  <c r="K261" i="9" s="1"/>
  <c r="L259" i="9"/>
  <c r="L258" i="9"/>
  <c r="L257" i="9"/>
  <c r="L256" i="9"/>
  <c r="P255" i="9"/>
  <c r="N255" i="9"/>
  <c r="J254" i="9"/>
  <c r="K253" i="9"/>
  <c r="K252" i="9"/>
  <c r="I250" i="9"/>
  <c r="K250" i="9" s="1"/>
  <c r="L248" i="9"/>
  <c r="L247" i="9"/>
  <c r="L246" i="9"/>
  <c r="L245" i="9"/>
  <c r="P244" i="9"/>
  <c r="N244" i="9"/>
  <c r="N233" i="9" s="1"/>
  <c r="J243" i="9"/>
  <c r="J242" i="9"/>
  <c r="I242" i="9"/>
  <c r="K242" i="9" s="1"/>
  <c r="J241" i="9"/>
  <c r="I241" i="9"/>
  <c r="K241" i="9" s="1"/>
  <c r="J239" i="9"/>
  <c r="N237" i="9"/>
  <c r="N236" i="9"/>
  <c r="N235" i="9"/>
  <c r="N234" i="9"/>
  <c r="J232" i="9"/>
  <c r="I231" i="9"/>
  <c r="K231" i="9" s="1"/>
  <c r="I230" i="9"/>
  <c r="K230" i="9" s="1"/>
  <c r="I229" i="9"/>
  <c r="K229" i="9" s="1"/>
  <c r="L226" i="9"/>
  <c r="L225" i="9"/>
  <c r="L224" i="9"/>
  <c r="P223" i="9"/>
  <c r="N223" i="9"/>
  <c r="J222" i="9"/>
  <c r="I221" i="9"/>
  <c r="K221" i="9" s="1"/>
  <c r="I220" i="9"/>
  <c r="K220" i="9" s="1"/>
  <c r="L218" i="9"/>
  <c r="L217" i="9"/>
  <c r="L216" i="9"/>
  <c r="P215" i="9"/>
  <c r="N215" i="9"/>
  <c r="J214" i="9"/>
  <c r="I213" i="9"/>
  <c r="K213" i="9" s="1"/>
  <c r="I212" i="9"/>
  <c r="K212" i="9" s="1"/>
  <c r="I210" i="9"/>
  <c r="K210" i="9" s="1"/>
  <c r="L208" i="9"/>
  <c r="L207" i="9"/>
  <c r="L206" i="9"/>
  <c r="L205" i="9"/>
  <c r="P204" i="9"/>
  <c r="N204" i="9"/>
  <c r="J203" i="9"/>
  <c r="J200" i="9"/>
  <c r="I199" i="9"/>
  <c r="K199" i="9" s="1"/>
  <c r="P197" i="9"/>
  <c r="L197" i="9"/>
  <c r="O197" i="9" s="1"/>
  <c r="J196" i="9"/>
  <c r="U195" i="9"/>
  <c r="T195" i="9"/>
  <c r="N195" i="9"/>
  <c r="N193" i="9" s="1"/>
  <c r="M195" i="9"/>
  <c r="M193" i="9" s="1"/>
  <c r="P193" i="9" s="1"/>
  <c r="L195" i="9"/>
  <c r="O195" i="9" s="1"/>
  <c r="U194" i="9"/>
  <c r="T194" i="9"/>
  <c r="P194" i="9"/>
  <c r="O194" i="9"/>
  <c r="S193" i="9"/>
  <c r="R193" i="9"/>
  <c r="U193" i="9" s="1"/>
  <c r="Q193" i="9"/>
  <c r="T193" i="9" s="1"/>
  <c r="S192" i="9"/>
  <c r="S189" i="9" s="1"/>
  <c r="R192" i="9"/>
  <c r="Q192" i="9"/>
  <c r="Q190" i="9" s="1"/>
  <c r="N192" i="9"/>
  <c r="M192" i="9"/>
  <c r="M190" i="9" s="1"/>
  <c r="L192" i="9"/>
  <c r="U191" i="9"/>
  <c r="T191" i="9"/>
  <c r="P191" i="9"/>
  <c r="O191" i="9"/>
  <c r="U188" i="9"/>
  <c r="T188" i="9"/>
  <c r="S188" i="9"/>
  <c r="R188" i="9"/>
  <c r="Q188" i="9"/>
  <c r="O188" i="9"/>
  <c r="N188" i="9"/>
  <c r="M188" i="9"/>
  <c r="L188" i="9"/>
  <c r="J186" i="9"/>
  <c r="K185" i="9"/>
  <c r="I184" i="9"/>
  <c r="K184" i="9" s="1"/>
  <c r="U182" i="9"/>
  <c r="T182" i="9"/>
  <c r="N182" i="9"/>
  <c r="N180" i="9" s="1"/>
  <c r="M182" i="9"/>
  <c r="M180" i="9" s="1"/>
  <c r="P180" i="9" s="1"/>
  <c r="L182" i="9"/>
  <c r="U181" i="9"/>
  <c r="T181" i="9"/>
  <c r="P181" i="9"/>
  <c r="O181" i="9"/>
  <c r="U180" i="9"/>
  <c r="T180" i="9"/>
  <c r="S180" i="9"/>
  <c r="R180" i="9"/>
  <c r="Q180" i="9"/>
  <c r="S179" i="9"/>
  <c r="S177" i="9" s="1"/>
  <c r="R179" i="9"/>
  <c r="Q179" i="9"/>
  <c r="T179" i="9" s="1"/>
  <c r="N179" i="9"/>
  <c r="N177" i="9" s="1"/>
  <c r="M179" i="9"/>
  <c r="L179" i="9"/>
  <c r="U178" i="9"/>
  <c r="T178" i="9"/>
  <c r="P178" i="9"/>
  <c r="O178" i="9"/>
  <c r="S175" i="9"/>
  <c r="R175" i="9"/>
  <c r="U175" i="9" s="1"/>
  <c r="Q175" i="9"/>
  <c r="T175" i="9" s="1"/>
  <c r="P175" i="9"/>
  <c r="N175" i="9"/>
  <c r="M175" i="9"/>
  <c r="L175" i="9"/>
  <c r="O175" i="9" s="1"/>
  <c r="J173" i="9"/>
  <c r="I170" i="9"/>
  <c r="K170" i="9" s="1"/>
  <c r="I169" i="9"/>
  <c r="K169" i="9" s="1"/>
  <c r="I168" i="9"/>
  <c r="K168" i="9" s="1"/>
  <c r="U166" i="9"/>
  <c r="T166" i="9"/>
  <c r="N166" i="9"/>
  <c r="N164" i="9" s="1"/>
  <c r="M166" i="9"/>
  <c r="M164" i="9" s="1"/>
  <c r="P164" i="9" s="1"/>
  <c r="L166" i="9"/>
  <c r="U165" i="9"/>
  <c r="T165" i="9"/>
  <c r="P165" i="9"/>
  <c r="O165" i="9"/>
  <c r="U164" i="9"/>
  <c r="T164" i="9"/>
  <c r="S164" i="9"/>
  <c r="R164" i="9"/>
  <c r="Q164" i="9"/>
  <c r="S163" i="9"/>
  <c r="S161" i="9" s="1"/>
  <c r="R163" i="9"/>
  <c r="R160" i="9" s="1"/>
  <c r="U160" i="9" s="1"/>
  <c r="Q163" i="9"/>
  <c r="T163" i="9" s="1"/>
  <c r="N163" i="9"/>
  <c r="N161" i="9" s="1"/>
  <c r="M163" i="9"/>
  <c r="L163" i="9"/>
  <c r="U162" i="9"/>
  <c r="T162" i="9"/>
  <c r="P162" i="9"/>
  <c r="O162" i="9"/>
  <c r="S159" i="9"/>
  <c r="R159" i="9"/>
  <c r="U159" i="9" s="1"/>
  <c r="Q159" i="9"/>
  <c r="T159" i="9" s="1"/>
  <c r="P159" i="9"/>
  <c r="N159" i="9"/>
  <c r="M159" i="9"/>
  <c r="L159" i="9"/>
  <c r="O159" i="9" s="1"/>
  <c r="J157" i="9"/>
  <c r="I155" i="9"/>
  <c r="I137" i="9" s="1"/>
  <c r="K137" i="9" s="1"/>
  <c r="I154" i="9"/>
  <c r="K154" i="9" s="1"/>
  <c r="I153" i="9"/>
  <c r="K153" i="9" s="1"/>
  <c r="I152" i="9"/>
  <c r="K152" i="9" s="1"/>
  <c r="I151" i="9"/>
  <c r="K151" i="9" s="1"/>
  <c r="U148" i="9"/>
  <c r="T148" i="9"/>
  <c r="N148" i="9"/>
  <c r="N146" i="9" s="1"/>
  <c r="M148" i="9"/>
  <c r="P148" i="9" s="1"/>
  <c r="L148" i="9"/>
  <c r="O148" i="9" s="1"/>
  <c r="U147" i="9"/>
  <c r="T147" i="9"/>
  <c r="P147" i="9"/>
  <c r="O147" i="9"/>
  <c r="T146" i="9"/>
  <c r="S146" i="9"/>
  <c r="R146" i="9"/>
  <c r="U146" i="9" s="1"/>
  <c r="Q146" i="9"/>
  <c r="S145" i="9"/>
  <c r="S142" i="9" s="1"/>
  <c r="S140" i="9" s="1"/>
  <c r="R145" i="9"/>
  <c r="U145" i="9" s="1"/>
  <c r="Q145" i="9"/>
  <c r="Q143" i="9" s="1"/>
  <c r="T143" i="9" s="1"/>
  <c r="N145" i="9"/>
  <c r="N143" i="9" s="1"/>
  <c r="M145" i="9"/>
  <c r="M143" i="9" s="1"/>
  <c r="L145" i="9"/>
  <c r="U144" i="9"/>
  <c r="T144" i="9"/>
  <c r="P144" i="9"/>
  <c r="O144" i="9"/>
  <c r="U141" i="9"/>
  <c r="T141" i="9"/>
  <c r="S141" i="9"/>
  <c r="R141" i="9"/>
  <c r="Q141" i="9"/>
  <c r="P141" i="9"/>
  <c r="O141" i="9"/>
  <c r="N141" i="9"/>
  <c r="M141" i="9"/>
  <c r="L141" i="9"/>
  <c r="J139" i="9"/>
  <c r="J138" i="9"/>
  <c r="J137" i="9"/>
  <c r="I131" i="9"/>
  <c r="K131" i="9" s="1"/>
  <c r="I130" i="9"/>
  <c r="K130" i="9" s="1"/>
  <c r="I129" i="9"/>
  <c r="K129" i="9" s="1"/>
  <c r="I128" i="9"/>
  <c r="K128" i="9" s="1"/>
  <c r="U126" i="9"/>
  <c r="T126" i="9"/>
  <c r="N126" i="9"/>
  <c r="N124" i="9" s="1"/>
  <c r="M126" i="9"/>
  <c r="M124" i="9" s="1"/>
  <c r="P124" i="9" s="1"/>
  <c r="L126" i="9"/>
  <c r="U125" i="9"/>
  <c r="T125" i="9"/>
  <c r="P125" i="9"/>
  <c r="O125" i="9"/>
  <c r="U124" i="9"/>
  <c r="T124" i="9"/>
  <c r="S124" i="9"/>
  <c r="R124" i="9"/>
  <c r="Q124" i="9"/>
  <c r="S123" i="9"/>
  <c r="S121" i="9" s="1"/>
  <c r="R123" i="9"/>
  <c r="Q123" i="9"/>
  <c r="Q121" i="9" s="1"/>
  <c r="N123" i="9"/>
  <c r="M123" i="9"/>
  <c r="M121" i="9" s="1"/>
  <c r="P121" i="9" s="1"/>
  <c r="L123" i="9"/>
  <c r="U122" i="9"/>
  <c r="T122" i="9"/>
  <c r="P122" i="9"/>
  <c r="O122" i="9"/>
  <c r="S119" i="9"/>
  <c r="R119" i="9"/>
  <c r="U119" i="9" s="1"/>
  <c r="Q119" i="9"/>
  <c r="T119" i="9" s="1"/>
  <c r="P119" i="9"/>
  <c r="N119" i="9"/>
  <c r="M119" i="9"/>
  <c r="L119" i="9"/>
  <c r="O119" i="9" s="1"/>
  <c r="J117" i="9"/>
  <c r="I115" i="9"/>
  <c r="K115" i="9" s="1"/>
  <c r="I114" i="9"/>
  <c r="K114" i="9" s="1"/>
  <c r="I110" i="9"/>
  <c r="I94" i="9" s="1"/>
  <c r="K94" i="9" s="1"/>
  <c r="I109" i="9"/>
  <c r="I93" i="9" s="1"/>
  <c r="K93" i="9" s="1"/>
  <c r="U103" i="9"/>
  <c r="T103" i="9"/>
  <c r="N103" i="9"/>
  <c r="M103" i="9"/>
  <c r="P103" i="9" s="1"/>
  <c r="L103" i="9"/>
  <c r="L101" i="9" s="1"/>
  <c r="O101" i="9" s="1"/>
  <c r="U102" i="9"/>
  <c r="T102" i="9"/>
  <c r="P102" i="9"/>
  <c r="O102" i="9"/>
  <c r="S101" i="9"/>
  <c r="R101" i="9"/>
  <c r="U101" i="9" s="1"/>
  <c r="Q101" i="9"/>
  <c r="T101" i="9" s="1"/>
  <c r="S100" i="9"/>
  <c r="S97" i="9" s="1"/>
  <c r="R100" i="9"/>
  <c r="R98" i="9" s="1"/>
  <c r="Q100" i="9"/>
  <c r="N100" i="9"/>
  <c r="M100" i="9"/>
  <c r="M98" i="9" s="1"/>
  <c r="P98" i="9" s="1"/>
  <c r="L100" i="9"/>
  <c r="O100" i="9" s="1"/>
  <c r="U99" i="9"/>
  <c r="T99" i="9"/>
  <c r="P99" i="9"/>
  <c r="O99" i="9"/>
  <c r="T96" i="9"/>
  <c r="S96" i="9"/>
  <c r="R96" i="9"/>
  <c r="Q96" i="9"/>
  <c r="N96" i="9"/>
  <c r="M96" i="9"/>
  <c r="P96" i="9" s="1"/>
  <c r="L96" i="9"/>
  <c r="J94" i="9"/>
  <c r="J93" i="9"/>
  <c r="I91" i="9"/>
  <c r="K91" i="9" s="1"/>
  <c r="I90" i="9"/>
  <c r="K90" i="9" s="1"/>
  <c r="I89" i="9"/>
  <c r="K89" i="9" s="1"/>
  <c r="I88" i="9"/>
  <c r="K88" i="9" s="1"/>
  <c r="I87" i="9"/>
  <c r="K87" i="9" s="1"/>
  <c r="I86" i="9"/>
  <c r="K86" i="9" s="1"/>
  <c r="I85" i="9"/>
  <c r="K85" i="9" s="1"/>
  <c r="J84" i="9"/>
  <c r="J83" i="9"/>
  <c r="U81" i="9"/>
  <c r="T81" i="9"/>
  <c r="N81" i="9"/>
  <c r="N79" i="9" s="1"/>
  <c r="M81" i="9"/>
  <c r="L81" i="9"/>
  <c r="O81" i="9" s="1"/>
  <c r="U80" i="9"/>
  <c r="T80" i="9"/>
  <c r="P80" i="9"/>
  <c r="O80" i="9"/>
  <c r="U79" i="9"/>
  <c r="S79" i="9"/>
  <c r="R79" i="9"/>
  <c r="Q79" i="9"/>
  <c r="T79" i="9" s="1"/>
  <c r="S78" i="9"/>
  <c r="R78" i="9"/>
  <c r="R76" i="9" s="1"/>
  <c r="Q78" i="9"/>
  <c r="Q75" i="9" s="1"/>
  <c r="N78" i="9"/>
  <c r="N76" i="9" s="1"/>
  <c r="M78" i="9"/>
  <c r="L78" i="9"/>
  <c r="U77" i="9"/>
  <c r="T77" i="9"/>
  <c r="P77" i="9"/>
  <c r="O77" i="9"/>
  <c r="S74" i="9"/>
  <c r="R74" i="9"/>
  <c r="U74" i="9" s="1"/>
  <c r="Q74" i="9"/>
  <c r="N74" i="9"/>
  <c r="M74" i="9"/>
  <c r="P74" i="9" s="1"/>
  <c r="L74" i="9"/>
  <c r="O74" i="9" s="1"/>
  <c r="J72" i="9"/>
  <c r="J71" i="9"/>
  <c r="U68" i="9"/>
  <c r="T68" i="9"/>
  <c r="N68" i="9"/>
  <c r="N66" i="9" s="1"/>
  <c r="M68" i="9"/>
  <c r="P68" i="9" s="1"/>
  <c r="L68" i="9"/>
  <c r="U67" i="9"/>
  <c r="T67" i="9"/>
  <c r="P67" i="9"/>
  <c r="O67" i="9"/>
  <c r="S66" i="9"/>
  <c r="R66" i="9"/>
  <c r="U66" i="9" s="1"/>
  <c r="Q66" i="9"/>
  <c r="T66" i="9" s="1"/>
  <c r="U65" i="9"/>
  <c r="T65" i="9"/>
  <c r="N65" i="9"/>
  <c r="N63" i="9" s="1"/>
  <c r="M65" i="9"/>
  <c r="L65" i="9"/>
  <c r="U64" i="9"/>
  <c r="T64" i="9"/>
  <c r="P64" i="9"/>
  <c r="O64" i="9"/>
  <c r="U63" i="9"/>
  <c r="S63" i="9"/>
  <c r="R63" i="9"/>
  <c r="Q63" i="9"/>
  <c r="T63" i="9" s="1"/>
  <c r="T62" i="9"/>
  <c r="S62" i="9"/>
  <c r="R62" i="9"/>
  <c r="U62" i="9" s="1"/>
  <c r="Q62" i="9"/>
  <c r="S61" i="9"/>
  <c r="S60" i="9" s="1"/>
  <c r="R61" i="9"/>
  <c r="U61" i="9" s="1"/>
  <c r="Q61" i="9"/>
  <c r="N61" i="9"/>
  <c r="M61" i="9"/>
  <c r="P61" i="9" s="1"/>
  <c r="L61" i="9"/>
  <c r="O61" i="9" s="1"/>
  <c r="U53" i="9"/>
  <c r="T53" i="9"/>
  <c r="N53" i="9"/>
  <c r="M53" i="9"/>
  <c r="L53" i="9"/>
  <c r="O53" i="9" s="1"/>
  <c r="U52" i="9"/>
  <c r="T52" i="9"/>
  <c r="P52" i="9"/>
  <c r="O52" i="9"/>
  <c r="S51" i="9"/>
  <c r="R51" i="9"/>
  <c r="U51" i="9" s="1"/>
  <c r="Q51" i="9"/>
  <c r="T51" i="9" s="1"/>
  <c r="U50" i="9"/>
  <c r="T50" i="9"/>
  <c r="N50" i="9"/>
  <c r="N48" i="9" s="1"/>
  <c r="M50" i="9"/>
  <c r="M47" i="9" s="1"/>
  <c r="L50" i="9"/>
  <c r="L48" i="9" s="1"/>
  <c r="U49" i="9"/>
  <c r="T49" i="9"/>
  <c r="P49" i="9"/>
  <c r="O49" i="9"/>
  <c r="U48" i="9"/>
  <c r="T48" i="9"/>
  <c r="S48" i="9"/>
  <c r="R48" i="9"/>
  <c r="Q48" i="9"/>
  <c r="T47" i="9"/>
  <c r="S47" i="9"/>
  <c r="S45" i="9" s="1"/>
  <c r="R47" i="9"/>
  <c r="U47" i="9" s="1"/>
  <c r="Q47" i="9"/>
  <c r="S46" i="9"/>
  <c r="R46" i="9"/>
  <c r="U46" i="9" s="1"/>
  <c r="Q46" i="9"/>
  <c r="P46" i="9"/>
  <c r="N46" i="9"/>
  <c r="M46" i="9"/>
  <c r="L46" i="9"/>
  <c r="O46" i="9" s="1"/>
  <c r="S27" i="9"/>
  <c r="R27" i="9"/>
  <c r="U27" i="9" s="1"/>
  <c r="Q27" i="9"/>
  <c r="T27" i="9" s="1"/>
  <c r="U26" i="9"/>
  <c r="S26" i="9"/>
  <c r="R26" i="9"/>
  <c r="Q26" i="9"/>
  <c r="T26" i="9" s="1"/>
  <c r="P26" i="9"/>
  <c r="N26" i="9"/>
  <c r="M26" i="9"/>
  <c r="L26" i="9"/>
  <c r="O26" i="9" s="1"/>
  <c r="S25" i="9"/>
  <c r="U23" i="9"/>
  <c r="S23" i="9"/>
  <c r="R23" i="9"/>
  <c r="Q23" i="9"/>
  <c r="T23" i="9" s="1"/>
  <c r="P23" i="9"/>
  <c r="N23" i="9"/>
  <c r="M23" i="9"/>
  <c r="L23" i="9"/>
  <c r="U20" i="9"/>
  <c r="S20" i="9"/>
  <c r="R20" i="9"/>
  <c r="Q20" i="9"/>
  <c r="T20" i="9" s="1"/>
  <c r="N20" i="9"/>
  <c r="M20" i="9"/>
  <c r="P20" i="9" s="1"/>
  <c r="A790" i="8"/>
  <c r="A789" i="8"/>
  <c r="J786" i="8"/>
  <c r="I786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H778" i="8"/>
  <c r="I777" i="8"/>
  <c r="I776" i="8"/>
  <c r="I775" i="8"/>
  <c r="K775" i="8" s="1"/>
  <c r="I773" i="8"/>
  <c r="I759" i="8" s="1"/>
  <c r="K759" i="8" s="1"/>
  <c r="I771" i="8"/>
  <c r="K771" i="8" s="1"/>
  <c r="U769" i="8"/>
  <c r="T769" i="8"/>
  <c r="P769" i="8"/>
  <c r="O769" i="8"/>
  <c r="U768" i="8"/>
  <c r="T768" i="8"/>
  <c r="P768" i="8"/>
  <c r="O768" i="8"/>
  <c r="S767" i="8"/>
  <c r="R767" i="8"/>
  <c r="U767" i="8" s="1"/>
  <c r="Q767" i="8"/>
  <c r="T767" i="8" s="1"/>
  <c r="P767" i="8"/>
  <c r="N767" i="8"/>
  <c r="M767" i="8"/>
  <c r="L767" i="8"/>
  <c r="O767" i="8" s="1"/>
  <c r="S766" i="8"/>
  <c r="S763" i="8" s="1"/>
  <c r="S761" i="8" s="1"/>
  <c r="R766" i="8"/>
  <c r="Q766" i="8"/>
  <c r="Q764" i="8" s="1"/>
  <c r="P766" i="8"/>
  <c r="O766" i="8"/>
  <c r="U765" i="8"/>
  <c r="T765" i="8"/>
  <c r="P765" i="8"/>
  <c r="O765" i="8"/>
  <c r="N764" i="8"/>
  <c r="M764" i="8"/>
  <c r="P764" i="8" s="1"/>
  <c r="L764" i="8"/>
  <c r="O764" i="8" s="1"/>
  <c r="N763" i="8"/>
  <c r="M763" i="8"/>
  <c r="L763" i="8"/>
  <c r="U762" i="8"/>
  <c r="S762" i="8"/>
  <c r="R762" i="8"/>
  <c r="Q762" i="8"/>
  <c r="P762" i="8"/>
  <c r="O762" i="8"/>
  <c r="N762" i="8"/>
  <c r="M762" i="8"/>
  <c r="L762" i="8"/>
  <c r="N761" i="8"/>
  <c r="J760" i="8"/>
  <c r="J759" i="8"/>
  <c r="I756" i="8"/>
  <c r="K756" i="8" s="1"/>
  <c r="I753" i="8"/>
  <c r="K753" i="8" s="1"/>
  <c r="I750" i="8"/>
  <c r="K750" i="8" s="1"/>
  <c r="I747" i="8"/>
  <c r="K747" i="8" s="1"/>
  <c r="I745" i="8"/>
  <c r="K745" i="8" s="1"/>
  <c r="I743" i="8"/>
  <c r="K743" i="8" s="1"/>
  <c r="I741" i="8"/>
  <c r="K741" i="8" s="1"/>
  <c r="U737" i="8"/>
  <c r="T737" i="8"/>
  <c r="P737" i="8"/>
  <c r="O737" i="8"/>
  <c r="U736" i="8"/>
  <c r="T736" i="8"/>
  <c r="P736" i="8"/>
  <c r="O736" i="8"/>
  <c r="U735" i="8"/>
  <c r="T735" i="8"/>
  <c r="S735" i="8"/>
  <c r="R735" i="8"/>
  <c r="Q735" i="8"/>
  <c r="P735" i="8"/>
  <c r="O735" i="8"/>
  <c r="N735" i="8"/>
  <c r="M735" i="8"/>
  <c r="L735" i="8"/>
  <c r="S734" i="8"/>
  <c r="R734" i="8"/>
  <c r="R732" i="8" s="1"/>
  <c r="Q734" i="8"/>
  <c r="Q732" i="8" s="1"/>
  <c r="P734" i="8"/>
  <c r="O734" i="8"/>
  <c r="U733" i="8"/>
  <c r="T733" i="8"/>
  <c r="P733" i="8"/>
  <c r="O733" i="8"/>
  <c r="N732" i="8"/>
  <c r="M732" i="8"/>
  <c r="P732" i="8" s="1"/>
  <c r="L732" i="8"/>
  <c r="O732" i="8" s="1"/>
  <c r="P731" i="8"/>
  <c r="O731" i="8"/>
  <c r="N731" i="8"/>
  <c r="M731" i="8"/>
  <c r="L731" i="8"/>
  <c r="L729" i="8" s="1"/>
  <c r="O729" i="8" s="1"/>
  <c r="U730" i="8"/>
  <c r="T730" i="8"/>
  <c r="S730" i="8"/>
  <c r="R730" i="8"/>
  <c r="Q730" i="8"/>
  <c r="O730" i="8"/>
  <c r="N730" i="8"/>
  <c r="M730" i="8"/>
  <c r="P730" i="8" s="1"/>
  <c r="L730" i="8"/>
  <c r="N729" i="8"/>
  <c r="M729" i="8"/>
  <c r="P729" i="8" s="1"/>
  <c r="J728" i="8"/>
  <c r="I728" i="8"/>
  <c r="K728" i="8" s="1"/>
  <c r="J727" i="8"/>
  <c r="I727" i="8"/>
  <c r="K727" i="8" s="1"/>
  <c r="U723" i="8"/>
  <c r="T723" i="8"/>
  <c r="P723" i="8"/>
  <c r="O723" i="8"/>
  <c r="U722" i="8"/>
  <c r="T722" i="8"/>
  <c r="P722" i="8"/>
  <c r="O722" i="8"/>
  <c r="S721" i="8"/>
  <c r="R721" i="8"/>
  <c r="U721" i="8" s="1"/>
  <c r="Q721" i="8"/>
  <c r="T721" i="8" s="1"/>
  <c r="N721" i="8"/>
  <c r="M721" i="8"/>
  <c r="P721" i="8" s="1"/>
  <c r="L721" i="8"/>
  <c r="O721" i="8" s="1"/>
  <c r="U720" i="8"/>
  <c r="T720" i="8"/>
  <c r="P720" i="8"/>
  <c r="O720" i="8"/>
  <c r="U719" i="8"/>
  <c r="T719" i="8"/>
  <c r="P719" i="8"/>
  <c r="O719" i="8"/>
  <c r="T718" i="8"/>
  <c r="S718" i="8"/>
  <c r="R718" i="8"/>
  <c r="U718" i="8" s="1"/>
  <c r="Q718" i="8"/>
  <c r="N718" i="8"/>
  <c r="M718" i="8"/>
  <c r="P718" i="8" s="1"/>
  <c r="L718" i="8"/>
  <c r="O718" i="8" s="1"/>
  <c r="U717" i="8"/>
  <c r="S717" i="8"/>
  <c r="R717" i="8"/>
  <c r="R715" i="8" s="1"/>
  <c r="U715" i="8" s="1"/>
  <c r="Q717" i="8"/>
  <c r="T717" i="8" s="1"/>
  <c r="P717" i="8"/>
  <c r="O717" i="8"/>
  <c r="N717" i="8"/>
  <c r="M717" i="8"/>
  <c r="L717" i="8"/>
  <c r="L715" i="8" s="1"/>
  <c r="O715" i="8" s="1"/>
  <c r="U716" i="8"/>
  <c r="T716" i="8"/>
  <c r="S716" i="8"/>
  <c r="S715" i="8" s="1"/>
  <c r="R716" i="8"/>
  <c r="Q716" i="8"/>
  <c r="O716" i="8"/>
  <c r="N716" i="8"/>
  <c r="M716" i="8"/>
  <c r="P716" i="8" s="1"/>
  <c r="L716" i="8"/>
  <c r="Q715" i="8"/>
  <c r="T715" i="8" s="1"/>
  <c r="N715" i="8"/>
  <c r="M715" i="8"/>
  <c r="P715" i="8" s="1"/>
  <c r="K713" i="8"/>
  <c r="J713" i="8"/>
  <c r="K711" i="8"/>
  <c r="J711" i="8"/>
  <c r="J710" i="8"/>
  <c r="I710" i="8"/>
  <c r="K710" i="8" s="1"/>
  <c r="K709" i="8"/>
  <c r="J709" i="8"/>
  <c r="J708" i="8"/>
  <c r="J690" i="8" s="1"/>
  <c r="I708" i="8"/>
  <c r="K707" i="8"/>
  <c r="J707" i="8"/>
  <c r="J706" i="8"/>
  <c r="I706" i="8"/>
  <c r="K706" i="8" s="1"/>
  <c r="K705" i="8"/>
  <c r="J705" i="8"/>
  <c r="J704" i="8"/>
  <c r="I704" i="8"/>
  <c r="K703" i="8"/>
  <c r="I701" i="8"/>
  <c r="K701" i="8" s="1"/>
  <c r="U699" i="8"/>
  <c r="T699" i="8"/>
  <c r="P699" i="8"/>
  <c r="O699" i="8"/>
  <c r="U698" i="8"/>
  <c r="T698" i="8"/>
  <c r="P698" i="8"/>
  <c r="O698" i="8"/>
  <c r="S697" i="8"/>
  <c r="R697" i="8"/>
  <c r="U697" i="8" s="1"/>
  <c r="Q697" i="8"/>
  <c r="T697" i="8" s="1"/>
  <c r="P697" i="8"/>
  <c r="N697" i="8"/>
  <c r="M697" i="8"/>
  <c r="L697" i="8"/>
  <c r="O697" i="8" s="1"/>
  <c r="S696" i="8"/>
  <c r="S694" i="8" s="1"/>
  <c r="R696" i="8"/>
  <c r="U696" i="8" s="1"/>
  <c r="Q696" i="8"/>
  <c r="Q694" i="8" s="1"/>
  <c r="T694" i="8" s="1"/>
  <c r="P696" i="8"/>
  <c r="O696" i="8"/>
  <c r="U695" i="8"/>
  <c r="T695" i="8"/>
  <c r="P695" i="8"/>
  <c r="O695" i="8"/>
  <c r="P694" i="8"/>
  <c r="O694" i="8"/>
  <c r="N694" i="8"/>
  <c r="M694" i="8"/>
  <c r="L694" i="8"/>
  <c r="N693" i="8"/>
  <c r="N691" i="8" s="1"/>
  <c r="M693" i="8"/>
  <c r="L693" i="8"/>
  <c r="O693" i="8" s="1"/>
  <c r="U692" i="8"/>
  <c r="S692" i="8"/>
  <c r="R692" i="8"/>
  <c r="Q692" i="8"/>
  <c r="P692" i="8"/>
  <c r="O692" i="8"/>
  <c r="N692" i="8"/>
  <c r="M692" i="8"/>
  <c r="L692" i="8"/>
  <c r="L691" i="8" s="1"/>
  <c r="O691" i="8"/>
  <c r="J683" i="8"/>
  <c r="I683" i="8"/>
  <c r="K683" i="8" s="1"/>
  <c r="J682" i="8"/>
  <c r="I682" i="8"/>
  <c r="K682" i="8" s="1"/>
  <c r="J681" i="8"/>
  <c r="J680" i="8"/>
  <c r="I680" i="8"/>
  <c r="K680" i="8" s="1"/>
  <c r="J679" i="8"/>
  <c r="I679" i="8"/>
  <c r="K679" i="8" s="1"/>
  <c r="J678" i="8"/>
  <c r="J677" i="8"/>
  <c r="I677" i="8"/>
  <c r="K677" i="8" s="1"/>
  <c r="I676" i="8"/>
  <c r="K676" i="8" s="1"/>
  <c r="I675" i="8"/>
  <c r="K675" i="8" s="1"/>
  <c r="J674" i="8"/>
  <c r="I674" i="8"/>
  <c r="K674" i="8" s="1"/>
  <c r="J673" i="8"/>
  <c r="J672" i="8"/>
  <c r="J662" i="8"/>
  <c r="I662" i="8"/>
  <c r="K662" i="8" s="1"/>
  <c r="I661" i="8"/>
  <c r="I658" i="8"/>
  <c r="J655" i="8"/>
  <c r="I655" i="8"/>
  <c r="K655" i="8" s="1"/>
  <c r="J654" i="8"/>
  <c r="I654" i="8"/>
  <c r="K654" i="8" s="1"/>
  <c r="J653" i="8"/>
  <c r="I653" i="8"/>
  <c r="K653" i="8" s="1"/>
  <c r="U651" i="8"/>
  <c r="T651" i="8"/>
  <c r="P651" i="8"/>
  <c r="O651" i="8"/>
  <c r="U650" i="8"/>
  <c r="T650" i="8"/>
  <c r="P650" i="8"/>
  <c r="O650" i="8"/>
  <c r="S649" i="8"/>
  <c r="R649" i="8"/>
  <c r="U649" i="8" s="1"/>
  <c r="Q649" i="8"/>
  <c r="T649" i="8" s="1"/>
  <c r="N649" i="8"/>
  <c r="M649" i="8"/>
  <c r="P649" i="8" s="1"/>
  <c r="L649" i="8"/>
  <c r="O649" i="8" s="1"/>
  <c r="S648" i="8"/>
  <c r="R648" i="8"/>
  <c r="U648" i="8" s="1"/>
  <c r="Q648" i="8"/>
  <c r="P648" i="8"/>
  <c r="O648" i="8"/>
  <c r="U647" i="8"/>
  <c r="T647" i="8"/>
  <c r="P647" i="8"/>
  <c r="O647" i="8"/>
  <c r="O646" i="8"/>
  <c r="N646" i="8"/>
  <c r="M646" i="8"/>
  <c r="P646" i="8" s="1"/>
  <c r="L646" i="8"/>
  <c r="N645" i="8"/>
  <c r="N643" i="8" s="1"/>
  <c r="M645" i="8"/>
  <c r="P645" i="8" s="1"/>
  <c r="L645" i="8"/>
  <c r="O645" i="8" s="1"/>
  <c r="S644" i="8"/>
  <c r="R644" i="8"/>
  <c r="Q644" i="8"/>
  <c r="P644" i="8"/>
  <c r="N644" i="8"/>
  <c r="M644" i="8"/>
  <c r="L644" i="8"/>
  <c r="J637" i="8"/>
  <c r="J636" i="8"/>
  <c r="I636" i="8"/>
  <c r="K636" i="8" s="1"/>
  <c r="J633" i="8"/>
  <c r="I629" i="8"/>
  <c r="K629" i="8" s="1"/>
  <c r="I628" i="8"/>
  <c r="K628" i="8" s="1"/>
  <c r="J627" i="8"/>
  <c r="I627" i="8"/>
  <c r="K631" i="8" s="1"/>
  <c r="U625" i="8"/>
  <c r="T625" i="8"/>
  <c r="P625" i="8"/>
  <c r="O625" i="8"/>
  <c r="U624" i="8"/>
  <c r="T624" i="8"/>
  <c r="P624" i="8"/>
  <c r="O624" i="8"/>
  <c r="S623" i="8"/>
  <c r="R623" i="8"/>
  <c r="U623" i="8" s="1"/>
  <c r="Q623" i="8"/>
  <c r="T623" i="8" s="1"/>
  <c r="N623" i="8"/>
  <c r="M623" i="8"/>
  <c r="P623" i="8" s="1"/>
  <c r="L623" i="8"/>
  <c r="O623" i="8" s="1"/>
  <c r="S622" i="8"/>
  <c r="S620" i="8" s="1"/>
  <c r="R622" i="8"/>
  <c r="Q622" i="8"/>
  <c r="Q620" i="8" s="1"/>
  <c r="P622" i="8"/>
  <c r="O622" i="8"/>
  <c r="U621" i="8"/>
  <c r="T621" i="8"/>
  <c r="P621" i="8"/>
  <c r="O621" i="8"/>
  <c r="P620" i="8"/>
  <c r="O620" i="8"/>
  <c r="N620" i="8"/>
  <c r="M620" i="8"/>
  <c r="L620" i="8"/>
  <c r="N619" i="8"/>
  <c r="N617" i="8" s="1"/>
  <c r="M619" i="8"/>
  <c r="P619" i="8" s="1"/>
  <c r="L619" i="8"/>
  <c r="O619" i="8" s="1"/>
  <c r="S618" i="8"/>
  <c r="R618" i="8"/>
  <c r="Q618" i="8"/>
  <c r="T618" i="8" s="1"/>
  <c r="N618" i="8"/>
  <c r="M618" i="8"/>
  <c r="L618" i="8"/>
  <c r="U608" i="8"/>
  <c r="T608" i="8"/>
  <c r="P608" i="8"/>
  <c r="O608" i="8"/>
  <c r="U607" i="8"/>
  <c r="T607" i="8"/>
  <c r="P607" i="8"/>
  <c r="O607" i="8"/>
  <c r="S606" i="8"/>
  <c r="R606" i="8"/>
  <c r="U606" i="8" s="1"/>
  <c r="Q606" i="8"/>
  <c r="T606" i="8" s="1"/>
  <c r="N606" i="8"/>
  <c r="M606" i="8"/>
  <c r="P606" i="8" s="1"/>
  <c r="L606" i="8"/>
  <c r="O606" i="8" s="1"/>
  <c r="U605" i="8"/>
  <c r="T605" i="8"/>
  <c r="P605" i="8"/>
  <c r="O605" i="8"/>
  <c r="U604" i="8"/>
  <c r="T604" i="8"/>
  <c r="P604" i="8"/>
  <c r="O604" i="8"/>
  <c r="T603" i="8"/>
  <c r="S603" i="8"/>
  <c r="R603" i="8"/>
  <c r="U603" i="8" s="1"/>
  <c r="Q603" i="8"/>
  <c r="N603" i="8"/>
  <c r="M603" i="8"/>
  <c r="P603" i="8" s="1"/>
  <c r="L603" i="8"/>
  <c r="O603" i="8" s="1"/>
  <c r="U602" i="8"/>
  <c r="S602" i="8"/>
  <c r="R602" i="8"/>
  <c r="R600" i="8" s="1"/>
  <c r="U600" i="8" s="1"/>
  <c r="Q602" i="8"/>
  <c r="T602" i="8" s="1"/>
  <c r="P602" i="8"/>
  <c r="O602" i="8"/>
  <c r="N602" i="8"/>
  <c r="M602" i="8"/>
  <c r="L602" i="8"/>
  <c r="L600" i="8" s="1"/>
  <c r="O600" i="8" s="1"/>
  <c r="U601" i="8"/>
  <c r="T601" i="8"/>
  <c r="S601" i="8"/>
  <c r="S600" i="8" s="1"/>
  <c r="R601" i="8"/>
  <c r="Q601" i="8"/>
  <c r="O601" i="8"/>
  <c r="N601" i="8"/>
  <c r="M601" i="8"/>
  <c r="P601" i="8" s="1"/>
  <c r="L601" i="8"/>
  <c r="N600" i="8"/>
  <c r="M600" i="8"/>
  <c r="P600" i="8" s="1"/>
  <c r="U585" i="8"/>
  <c r="T585" i="8"/>
  <c r="P585" i="8"/>
  <c r="O585" i="8"/>
  <c r="U584" i="8"/>
  <c r="T584" i="8"/>
  <c r="P584" i="8"/>
  <c r="O584" i="8"/>
  <c r="S583" i="8"/>
  <c r="R583" i="8"/>
  <c r="U583" i="8" s="1"/>
  <c r="Q583" i="8"/>
  <c r="T583" i="8" s="1"/>
  <c r="N583" i="8"/>
  <c r="M583" i="8"/>
  <c r="P583" i="8" s="1"/>
  <c r="L583" i="8"/>
  <c r="O583" i="8" s="1"/>
  <c r="U582" i="8"/>
  <c r="T582" i="8"/>
  <c r="P582" i="8"/>
  <c r="O582" i="8"/>
  <c r="U581" i="8"/>
  <c r="T581" i="8"/>
  <c r="P581" i="8"/>
  <c r="O581" i="8"/>
  <c r="T580" i="8"/>
  <c r="S580" i="8"/>
  <c r="R580" i="8"/>
  <c r="U580" i="8" s="1"/>
  <c r="Q580" i="8"/>
  <c r="N580" i="8"/>
  <c r="M580" i="8"/>
  <c r="P580" i="8" s="1"/>
  <c r="L580" i="8"/>
  <c r="O580" i="8" s="1"/>
  <c r="U579" i="8"/>
  <c r="S579" i="8"/>
  <c r="R579" i="8"/>
  <c r="R577" i="8" s="1"/>
  <c r="U577" i="8" s="1"/>
  <c r="Q579" i="8"/>
  <c r="T579" i="8" s="1"/>
  <c r="P579" i="8"/>
  <c r="O579" i="8"/>
  <c r="N579" i="8"/>
  <c r="M579" i="8"/>
  <c r="L579" i="8"/>
  <c r="L577" i="8" s="1"/>
  <c r="O577" i="8" s="1"/>
  <c r="U578" i="8"/>
  <c r="T578" i="8"/>
  <c r="S578" i="8"/>
  <c r="S577" i="8" s="1"/>
  <c r="R578" i="8"/>
  <c r="Q578" i="8"/>
  <c r="O578" i="8"/>
  <c r="N578" i="8"/>
  <c r="M578" i="8"/>
  <c r="P578" i="8" s="1"/>
  <c r="L578" i="8"/>
  <c r="N577" i="8"/>
  <c r="M577" i="8"/>
  <c r="P577" i="8" s="1"/>
  <c r="K576" i="8"/>
  <c r="J576" i="8"/>
  <c r="I576" i="8"/>
  <c r="U564" i="8"/>
  <c r="T564" i="8"/>
  <c r="P564" i="8"/>
  <c r="O564" i="8"/>
  <c r="U563" i="8"/>
  <c r="T563" i="8"/>
  <c r="P563" i="8"/>
  <c r="O563" i="8"/>
  <c r="U562" i="8"/>
  <c r="S562" i="8"/>
  <c r="R562" i="8"/>
  <c r="Q562" i="8"/>
  <c r="T562" i="8" s="1"/>
  <c r="P562" i="8"/>
  <c r="O562" i="8"/>
  <c r="N562" i="8"/>
  <c r="M562" i="8"/>
  <c r="L562" i="8"/>
  <c r="U561" i="8"/>
  <c r="T561" i="8"/>
  <c r="P561" i="8"/>
  <c r="O561" i="8"/>
  <c r="U560" i="8"/>
  <c r="T560" i="8"/>
  <c r="P560" i="8"/>
  <c r="O560" i="8"/>
  <c r="U559" i="8"/>
  <c r="S559" i="8"/>
  <c r="R559" i="8"/>
  <c r="Q559" i="8"/>
  <c r="T559" i="8" s="1"/>
  <c r="P559" i="8"/>
  <c r="O559" i="8"/>
  <c r="N559" i="8"/>
  <c r="M559" i="8"/>
  <c r="L559" i="8"/>
  <c r="U558" i="8"/>
  <c r="T558" i="8"/>
  <c r="S558" i="8"/>
  <c r="R558" i="8"/>
  <c r="Q558" i="8"/>
  <c r="N558" i="8"/>
  <c r="M558" i="8"/>
  <c r="P558" i="8" s="1"/>
  <c r="L558" i="8"/>
  <c r="O558" i="8" s="1"/>
  <c r="S557" i="8"/>
  <c r="S556" i="8" s="1"/>
  <c r="R557" i="8"/>
  <c r="Q557" i="8"/>
  <c r="T557" i="8" s="1"/>
  <c r="P557" i="8"/>
  <c r="N557" i="8"/>
  <c r="M557" i="8"/>
  <c r="M556" i="8" s="1"/>
  <c r="L557" i="8"/>
  <c r="T556" i="8"/>
  <c r="Q556" i="8"/>
  <c r="P556" i="8"/>
  <c r="N556" i="8"/>
  <c r="K555" i="8"/>
  <c r="J555" i="8"/>
  <c r="I555" i="8"/>
  <c r="U543" i="8"/>
  <c r="T543" i="8"/>
  <c r="P543" i="8"/>
  <c r="O543" i="8"/>
  <c r="U542" i="8"/>
  <c r="T542" i="8"/>
  <c r="P542" i="8"/>
  <c r="O542" i="8"/>
  <c r="T541" i="8"/>
  <c r="S541" i="8"/>
  <c r="R541" i="8"/>
  <c r="U541" i="8" s="1"/>
  <c r="Q541" i="8"/>
  <c r="N541" i="8"/>
  <c r="M541" i="8"/>
  <c r="P541" i="8" s="1"/>
  <c r="L541" i="8"/>
  <c r="O541" i="8" s="1"/>
  <c r="U540" i="8"/>
  <c r="T540" i="8"/>
  <c r="P540" i="8"/>
  <c r="O540" i="8"/>
  <c r="U539" i="8"/>
  <c r="T539" i="8"/>
  <c r="P539" i="8"/>
  <c r="O539" i="8"/>
  <c r="S538" i="8"/>
  <c r="R538" i="8"/>
  <c r="U538" i="8" s="1"/>
  <c r="Q538" i="8"/>
  <c r="T538" i="8" s="1"/>
  <c r="N538" i="8"/>
  <c r="M538" i="8"/>
  <c r="P538" i="8" s="1"/>
  <c r="L538" i="8"/>
  <c r="O538" i="8" s="1"/>
  <c r="S537" i="8"/>
  <c r="R537" i="8"/>
  <c r="Q537" i="8"/>
  <c r="T537" i="8" s="1"/>
  <c r="P537" i="8"/>
  <c r="N537" i="8"/>
  <c r="M537" i="8"/>
  <c r="L537" i="8"/>
  <c r="U536" i="8"/>
  <c r="T536" i="8"/>
  <c r="S536" i="8"/>
  <c r="R536" i="8"/>
  <c r="Q536" i="8"/>
  <c r="P536" i="8"/>
  <c r="O536" i="8"/>
  <c r="N536" i="8"/>
  <c r="M536" i="8"/>
  <c r="L536" i="8"/>
  <c r="T535" i="8"/>
  <c r="S535" i="8"/>
  <c r="Q535" i="8"/>
  <c r="N535" i="8"/>
  <c r="M535" i="8"/>
  <c r="P535" i="8" s="1"/>
  <c r="K534" i="8"/>
  <c r="J534" i="8"/>
  <c r="I534" i="8"/>
  <c r="K525" i="8"/>
  <c r="K524" i="8"/>
  <c r="U522" i="8"/>
  <c r="T522" i="8"/>
  <c r="N522" i="8"/>
  <c r="N520" i="8" s="1"/>
  <c r="M522" i="8"/>
  <c r="L522" i="8"/>
  <c r="L520" i="8" s="1"/>
  <c r="O520" i="8" s="1"/>
  <c r="U521" i="8"/>
  <c r="T521" i="8"/>
  <c r="P521" i="8"/>
  <c r="O521" i="8"/>
  <c r="U520" i="8"/>
  <c r="T520" i="8"/>
  <c r="S520" i="8"/>
  <c r="R520" i="8"/>
  <c r="Q520" i="8"/>
  <c r="U519" i="8"/>
  <c r="T519" i="8"/>
  <c r="N519" i="8"/>
  <c r="M519" i="8"/>
  <c r="L519" i="8"/>
  <c r="U518" i="8"/>
  <c r="T518" i="8"/>
  <c r="P518" i="8"/>
  <c r="O518" i="8"/>
  <c r="S517" i="8"/>
  <c r="R517" i="8"/>
  <c r="U517" i="8" s="1"/>
  <c r="Q517" i="8"/>
  <c r="T517" i="8" s="1"/>
  <c r="T516" i="8"/>
  <c r="S516" i="8"/>
  <c r="R516" i="8"/>
  <c r="U516" i="8" s="1"/>
  <c r="Q516" i="8"/>
  <c r="Q514" i="8" s="1"/>
  <c r="T514" i="8" s="1"/>
  <c r="T515" i="8"/>
  <c r="S515" i="8"/>
  <c r="R515" i="8"/>
  <c r="Q515" i="8"/>
  <c r="P515" i="8"/>
  <c r="N515" i="8"/>
  <c r="M515" i="8"/>
  <c r="L515" i="8"/>
  <c r="S514" i="8"/>
  <c r="J513" i="8"/>
  <c r="I513" i="8"/>
  <c r="K513" i="8" s="1"/>
  <c r="I510" i="8"/>
  <c r="K510" i="8" s="1"/>
  <c r="K509" i="8"/>
  <c r="I508" i="8"/>
  <c r="K508" i="8" s="1"/>
  <c r="I507" i="8"/>
  <c r="K507" i="8" s="1"/>
  <c r="I506" i="8"/>
  <c r="K506" i="8" s="1"/>
  <c r="I505" i="8"/>
  <c r="I504" i="8"/>
  <c r="K504" i="8" s="1"/>
  <c r="U502" i="8"/>
  <c r="T502" i="8"/>
  <c r="P502" i="8"/>
  <c r="O502" i="8"/>
  <c r="U501" i="8"/>
  <c r="T501" i="8"/>
  <c r="P501" i="8"/>
  <c r="O501" i="8"/>
  <c r="U500" i="8"/>
  <c r="S500" i="8"/>
  <c r="R500" i="8"/>
  <c r="Q500" i="8"/>
  <c r="T500" i="8" s="1"/>
  <c r="N500" i="8"/>
  <c r="M500" i="8"/>
  <c r="P500" i="8" s="1"/>
  <c r="L500" i="8"/>
  <c r="O500" i="8" s="1"/>
  <c r="S499" i="8"/>
  <c r="S497" i="8" s="1"/>
  <c r="R499" i="8"/>
  <c r="Q499" i="8"/>
  <c r="T499" i="8" s="1"/>
  <c r="P499" i="8"/>
  <c r="O499" i="8"/>
  <c r="U498" i="8"/>
  <c r="T498" i="8"/>
  <c r="P498" i="8"/>
  <c r="O498" i="8"/>
  <c r="N497" i="8"/>
  <c r="M497" i="8"/>
  <c r="P497" i="8" s="1"/>
  <c r="L497" i="8"/>
  <c r="O497" i="8" s="1"/>
  <c r="N496" i="8"/>
  <c r="M496" i="8"/>
  <c r="L496" i="8"/>
  <c r="O496" i="8" s="1"/>
  <c r="U495" i="8"/>
  <c r="S495" i="8"/>
  <c r="R495" i="8"/>
  <c r="Q495" i="8"/>
  <c r="P495" i="8"/>
  <c r="O495" i="8"/>
  <c r="N495" i="8"/>
  <c r="N494" i="8" s="1"/>
  <c r="M495" i="8"/>
  <c r="L495" i="8"/>
  <c r="L494" i="8"/>
  <c r="O494" i="8" s="1"/>
  <c r="K486" i="8"/>
  <c r="J486" i="8"/>
  <c r="I486" i="8"/>
  <c r="J485" i="8"/>
  <c r="I485" i="8"/>
  <c r="K485" i="8" s="1"/>
  <c r="J484" i="8"/>
  <c r="J483" i="8"/>
  <c r="K478" i="8"/>
  <c r="J478" i="8"/>
  <c r="K477" i="8"/>
  <c r="J477" i="8"/>
  <c r="K476" i="8"/>
  <c r="J476" i="8"/>
  <c r="J469" i="8"/>
  <c r="J459" i="8" s="1"/>
  <c r="J468" i="8"/>
  <c r="J461" i="8"/>
  <c r="J460" i="8"/>
  <c r="J458" i="8" s="1"/>
  <c r="J457" i="8" s="1"/>
  <c r="I459" i="8"/>
  <c r="K459" i="8" s="1"/>
  <c r="I458" i="8"/>
  <c r="K458" i="8" s="1"/>
  <c r="J448" i="8"/>
  <c r="J447" i="8"/>
  <c r="J442" i="8"/>
  <c r="I442" i="8"/>
  <c r="K442" i="8" s="1"/>
  <c r="J441" i="8"/>
  <c r="I441" i="8"/>
  <c r="I424" i="8" s="1"/>
  <c r="K424" i="8" s="1"/>
  <c r="J434" i="8"/>
  <c r="I434" i="8"/>
  <c r="K434" i="8" s="1"/>
  <c r="J433" i="8"/>
  <c r="I433" i="8"/>
  <c r="K433" i="8" s="1"/>
  <c r="J426" i="8"/>
  <c r="I426" i="8"/>
  <c r="K426" i="8" s="1"/>
  <c r="J425" i="8"/>
  <c r="I425" i="8"/>
  <c r="K425" i="8" s="1"/>
  <c r="J424" i="8"/>
  <c r="J413" i="8" s="1"/>
  <c r="U422" i="8"/>
  <c r="T422" i="8"/>
  <c r="P422" i="8"/>
  <c r="O422" i="8"/>
  <c r="U421" i="8"/>
  <c r="T421" i="8"/>
  <c r="P421" i="8"/>
  <c r="O421" i="8"/>
  <c r="T420" i="8"/>
  <c r="S420" i="8"/>
  <c r="R420" i="8"/>
  <c r="U420" i="8" s="1"/>
  <c r="Q420" i="8"/>
  <c r="N420" i="8"/>
  <c r="M420" i="8"/>
  <c r="P420" i="8" s="1"/>
  <c r="L420" i="8"/>
  <c r="O420" i="8" s="1"/>
  <c r="S419" i="8"/>
  <c r="R419" i="8"/>
  <c r="R417" i="8" s="1"/>
  <c r="U417" i="8" s="1"/>
  <c r="Q419" i="8"/>
  <c r="Q417" i="8" s="1"/>
  <c r="T417" i="8" s="1"/>
  <c r="P419" i="8"/>
  <c r="O419" i="8"/>
  <c r="U418" i="8"/>
  <c r="T418" i="8"/>
  <c r="P418" i="8"/>
  <c r="O418" i="8"/>
  <c r="P417" i="8"/>
  <c r="N417" i="8"/>
  <c r="M417" i="8"/>
  <c r="L417" i="8"/>
  <c r="O417" i="8" s="1"/>
  <c r="P416" i="8"/>
  <c r="O416" i="8"/>
  <c r="N416" i="8"/>
  <c r="N414" i="8" s="1"/>
  <c r="M416" i="8"/>
  <c r="L416" i="8"/>
  <c r="T415" i="8"/>
  <c r="S415" i="8"/>
  <c r="R415" i="8"/>
  <c r="Q415" i="8"/>
  <c r="P415" i="8"/>
  <c r="N415" i="8"/>
  <c r="M415" i="8"/>
  <c r="M414" i="8" s="1"/>
  <c r="L415" i="8"/>
  <c r="P414" i="8"/>
  <c r="U401" i="8"/>
  <c r="T401" i="8"/>
  <c r="P401" i="8"/>
  <c r="O401" i="8"/>
  <c r="U400" i="8"/>
  <c r="T400" i="8"/>
  <c r="P400" i="8"/>
  <c r="O400" i="8"/>
  <c r="S399" i="8"/>
  <c r="R399" i="8"/>
  <c r="U399" i="8" s="1"/>
  <c r="Q399" i="8"/>
  <c r="T399" i="8" s="1"/>
  <c r="O399" i="8"/>
  <c r="N399" i="8"/>
  <c r="M399" i="8"/>
  <c r="P399" i="8" s="1"/>
  <c r="L399" i="8"/>
  <c r="U398" i="8"/>
  <c r="T398" i="8"/>
  <c r="P398" i="8"/>
  <c r="O398" i="8"/>
  <c r="U397" i="8"/>
  <c r="T397" i="8"/>
  <c r="P397" i="8"/>
  <c r="O397" i="8"/>
  <c r="T396" i="8"/>
  <c r="S396" i="8"/>
  <c r="R396" i="8"/>
  <c r="U396" i="8" s="1"/>
  <c r="Q396" i="8"/>
  <c r="N396" i="8"/>
  <c r="M396" i="8"/>
  <c r="P396" i="8" s="1"/>
  <c r="L396" i="8"/>
  <c r="O396" i="8" s="1"/>
  <c r="U395" i="8"/>
  <c r="S395" i="8"/>
  <c r="R395" i="8"/>
  <c r="R393" i="8" s="1"/>
  <c r="U393" i="8" s="1"/>
  <c r="Q395" i="8"/>
  <c r="T395" i="8" s="1"/>
  <c r="O395" i="8"/>
  <c r="N395" i="8"/>
  <c r="M395" i="8"/>
  <c r="P395" i="8" s="1"/>
  <c r="L395" i="8"/>
  <c r="L393" i="8" s="1"/>
  <c r="O393" i="8" s="1"/>
  <c r="U394" i="8"/>
  <c r="S394" i="8"/>
  <c r="R394" i="8"/>
  <c r="Q394" i="8"/>
  <c r="T394" i="8" s="1"/>
  <c r="P394" i="8"/>
  <c r="O394" i="8"/>
  <c r="N394" i="8"/>
  <c r="M394" i="8"/>
  <c r="L394" i="8"/>
  <c r="T393" i="8"/>
  <c r="S393" i="8"/>
  <c r="Q393" i="8"/>
  <c r="N393" i="8"/>
  <c r="M393" i="8"/>
  <c r="P393" i="8" s="1"/>
  <c r="K392" i="8"/>
  <c r="J392" i="8"/>
  <c r="I392" i="8"/>
  <c r="J389" i="8"/>
  <c r="I389" i="8"/>
  <c r="K389" i="8" s="1"/>
  <c r="K388" i="8"/>
  <c r="J388" i="8"/>
  <c r="J387" i="8"/>
  <c r="I387" i="8"/>
  <c r="K386" i="8"/>
  <c r="J386" i="8"/>
  <c r="U384" i="8"/>
  <c r="T384" i="8"/>
  <c r="P384" i="8"/>
  <c r="O384" i="8"/>
  <c r="U383" i="8"/>
  <c r="T383" i="8"/>
  <c r="P383" i="8"/>
  <c r="O383" i="8"/>
  <c r="U382" i="8"/>
  <c r="S382" i="8"/>
  <c r="R382" i="8"/>
  <c r="Q382" i="8"/>
  <c r="T382" i="8" s="1"/>
  <c r="P382" i="8"/>
  <c r="O382" i="8"/>
  <c r="N382" i="8"/>
  <c r="M382" i="8"/>
  <c r="L382" i="8"/>
  <c r="S381" i="8"/>
  <c r="R381" i="8"/>
  <c r="Q381" i="8"/>
  <c r="P381" i="8"/>
  <c r="O381" i="8"/>
  <c r="U380" i="8"/>
  <c r="T380" i="8"/>
  <c r="P380" i="8"/>
  <c r="O380" i="8"/>
  <c r="N379" i="8"/>
  <c r="M379" i="8"/>
  <c r="P379" i="8" s="1"/>
  <c r="L379" i="8"/>
  <c r="O379" i="8" s="1"/>
  <c r="P378" i="8"/>
  <c r="N378" i="8"/>
  <c r="M378" i="8"/>
  <c r="L378" i="8"/>
  <c r="U377" i="8"/>
  <c r="T377" i="8"/>
  <c r="S377" i="8"/>
  <c r="R377" i="8"/>
  <c r="Q377" i="8"/>
  <c r="P377" i="8"/>
  <c r="O377" i="8"/>
  <c r="N377" i="8"/>
  <c r="M377" i="8"/>
  <c r="L377" i="8"/>
  <c r="N376" i="8"/>
  <c r="M376" i="8"/>
  <c r="P376" i="8" s="1"/>
  <c r="D374" i="8"/>
  <c r="K373" i="8"/>
  <c r="J373" i="8"/>
  <c r="J372" i="8"/>
  <c r="I372" i="8"/>
  <c r="I366" i="8" s="1"/>
  <c r="K371" i="8"/>
  <c r="J371" i="8"/>
  <c r="J370" i="8"/>
  <c r="I370" i="8"/>
  <c r="J369" i="8"/>
  <c r="I369" i="8"/>
  <c r="K368" i="8"/>
  <c r="J368" i="8"/>
  <c r="U365" i="8"/>
  <c r="T365" i="8"/>
  <c r="N365" i="8"/>
  <c r="M365" i="8"/>
  <c r="L365" i="8"/>
  <c r="U364" i="8"/>
  <c r="T364" i="8"/>
  <c r="P364" i="8"/>
  <c r="O364" i="8"/>
  <c r="U363" i="8"/>
  <c r="T363" i="8"/>
  <c r="S363" i="8"/>
  <c r="R363" i="8"/>
  <c r="Q363" i="8"/>
  <c r="N363" i="8"/>
  <c r="U362" i="8"/>
  <c r="T362" i="8"/>
  <c r="N362" i="8"/>
  <c r="N360" i="8" s="1"/>
  <c r="M362" i="8"/>
  <c r="M360" i="8" s="1"/>
  <c r="L362" i="8"/>
  <c r="L360" i="8" s="1"/>
  <c r="U361" i="8"/>
  <c r="T361" i="8"/>
  <c r="P361" i="8"/>
  <c r="O361" i="8"/>
  <c r="S360" i="8"/>
  <c r="R360" i="8"/>
  <c r="U360" i="8" s="1"/>
  <c r="Q360" i="8"/>
  <c r="T360" i="8" s="1"/>
  <c r="U359" i="8"/>
  <c r="T359" i="8"/>
  <c r="S359" i="8"/>
  <c r="R359" i="8"/>
  <c r="Q359" i="8"/>
  <c r="T358" i="8"/>
  <c r="S358" i="8"/>
  <c r="S357" i="8" s="1"/>
  <c r="R358" i="8"/>
  <c r="U358" i="8" s="1"/>
  <c r="Q358" i="8"/>
  <c r="N358" i="8"/>
  <c r="M358" i="8"/>
  <c r="L358" i="8"/>
  <c r="O358" i="8" s="1"/>
  <c r="R357" i="8"/>
  <c r="U357" i="8" s="1"/>
  <c r="Q357" i="8"/>
  <c r="T357" i="8" s="1"/>
  <c r="D355" i="8"/>
  <c r="J354" i="8"/>
  <c r="J353" i="8"/>
  <c r="D351" i="8"/>
  <c r="J350" i="8"/>
  <c r="J349" i="8"/>
  <c r="J348" i="8"/>
  <c r="J347" i="8"/>
  <c r="I347" i="8"/>
  <c r="J345" i="8"/>
  <c r="I345" i="8"/>
  <c r="U342" i="8"/>
  <c r="T342" i="8"/>
  <c r="N342" i="8"/>
  <c r="N340" i="8" s="1"/>
  <c r="M342" i="8"/>
  <c r="M340" i="8" s="1"/>
  <c r="P340" i="8" s="1"/>
  <c r="L342" i="8"/>
  <c r="L340" i="8" s="1"/>
  <c r="O340" i="8" s="1"/>
  <c r="U341" i="8"/>
  <c r="T341" i="8"/>
  <c r="P341" i="8"/>
  <c r="O341" i="8"/>
  <c r="S340" i="8"/>
  <c r="R340" i="8"/>
  <c r="U340" i="8" s="1"/>
  <c r="Q340" i="8"/>
  <c r="T340" i="8" s="1"/>
  <c r="U339" i="8"/>
  <c r="T339" i="8"/>
  <c r="N339" i="8"/>
  <c r="N337" i="8" s="1"/>
  <c r="M339" i="8"/>
  <c r="L339" i="8"/>
  <c r="U338" i="8"/>
  <c r="T338" i="8"/>
  <c r="P338" i="8"/>
  <c r="O338" i="8"/>
  <c r="U337" i="8"/>
  <c r="T337" i="8"/>
  <c r="S337" i="8"/>
  <c r="R337" i="8"/>
  <c r="Q337" i="8"/>
  <c r="S336" i="8"/>
  <c r="S334" i="8" s="1"/>
  <c r="R336" i="8"/>
  <c r="Q336" i="8"/>
  <c r="T336" i="8" s="1"/>
  <c r="U335" i="8"/>
  <c r="S335" i="8"/>
  <c r="R335" i="8"/>
  <c r="Q335" i="8"/>
  <c r="P335" i="8"/>
  <c r="O335" i="8"/>
  <c r="N335" i="8"/>
  <c r="M335" i="8"/>
  <c r="L335" i="8"/>
  <c r="I331" i="8"/>
  <c r="U329" i="8"/>
  <c r="T329" i="8"/>
  <c r="N329" i="8"/>
  <c r="M329" i="8"/>
  <c r="M327" i="8" s="1"/>
  <c r="P327" i="8" s="1"/>
  <c r="L329" i="8"/>
  <c r="L327" i="8" s="1"/>
  <c r="O327" i="8" s="1"/>
  <c r="U328" i="8"/>
  <c r="T328" i="8"/>
  <c r="P328" i="8"/>
  <c r="O328" i="8"/>
  <c r="U327" i="8"/>
  <c r="S327" i="8"/>
  <c r="R327" i="8"/>
  <c r="Q327" i="8"/>
  <c r="T327" i="8" s="1"/>
  <c r="U326" i="8"/>
  <c r="T326" i="8"/>
  <c r="N326" i="8"/>
  <c r="N324" i="8" s="1"/>
  <c r="M326" i="8"/>
  <c r="P326" i="8" s="1"/>
  <c r="L326" i="8"/>
  <c r="U325" i="8"/>
  <c r="T325" i="8"/>
  <c r="P325" i="8"/>
  <c r="O325" i="8"/>
  <c r="T324" i="8"/>
  <c r="S324" i="8"/>
  <c r="R324" i="8"/>
  <c r="U324" i="8" s="1"/>
  <c r="Q324" i="8"/>
  <c r="S323" i="8"/>
  <c r="R323" i="8"/>
  <c r="Q323" i="8"/>
  <c r="U322" i="8"/>
  <c r="T322" i="8"/>
  <c r="S322" i="8"/>
  <c r="R322" i="8"/>
  <c r="Q322" i="8"/>
  <c r="P322" i="8"/>
  <c r="O322" i="8"/>
  <c r="N322" i="8"/>
  <c r="M322" i="8"/>
  <c r="L322" i="8"/>
  <c r="S321" i="8"/>
  <c r="J320" i="8"/>
  <c r="I315" i="8"/>
  <c r="I303" i="8" s="1"/>
  <c r="U312" i="8"/>
  <c r="T312" i="8"/>
  <c r="N312" i="8"/>
  <c r="N310" i="8" s="1"/>
  <c r="M312" i="8"/>
  <c r="L312" i="8"/>
  <c r="U311" i="8"/>
  <c r="T311" i="8"/>
  <c r="P311" i="8"/>
  <c r="O311" i="8"/>
  <c r="U310" i="8"/>
  <c r="T310" i="8"/>
  <c r="S310" i="8"/>
  <c r="R310" i="8"/>
  <c r="Q310" i="8"/>
  <c r="S309" i="8"/>
  <c r="S307" i="8" s="1"/>
  <c r="R309" i="8"/>
  <c r="Q309" i="8"/>
  <c r="Q307" i="8" s="1"/>
  <c r="N309" i="8"/>
  <c r="M309" i="8"/>
  <c r="L309" i="8"/>
  <c r="L307" i="8" s="1"/>
  <c r="O307" i="8" s="1"/>
  <c r="U308" i="8"/>
  <c r="T308" i="8"/>
  <c r="P308" i="8"/>
  <c r="O308" i="8"/>
  <c r="S305" i="8"/>
  <c r="R305" i="8"/>
  <c r="Q305" i="8"/>
  <c r="P305" i="8"/>
  <c r="N305" i="8"/>
  <c r="M305" i="8"/>
  <c r="L305" i="8"/>
  <c r="J303" i="8"/>
  <c r="I297" i="8"/>
  <c r="K297" i="8" s="1"/>
  <c r="I296" i="8"/>
  <c r="K296" i="8" s="1"/>
  <c r="J294" i="8"/>
  <c r="J281" i="8" s="1"/>
  <c r="I294" i="8"/>
  <c r="I281" i="8" s="1"/>
  <c r="K281" i="8" s="1"/>
  <c r="I293" i="8"/>
  <c r="K293" i="8" s="1"/>
  <c r="U291" i="8"/>
  <c r="T291" i="8"/>
  <c r="N291" i="8"/>
  <c r="N289" i="8" s="1"/>
  <c r="M291" i="8"/>
  <c r="M289" i="8" s="1"/>
  <c r="P289" i="8" s="1"/>
  <c r="L291" i="8"/>
  <c r="O291" i="8" s="1"/>
  <c r="U290" i="8"/>
  <c r="T290" i="8"/>
  <c r="P290" i="8"/>
  <c r="O290" i="8"/>
  <c r="S289" i="8"/>
  <c r="R289" i="8"/>
  <c r="U289" i="8" s="1"/>
  <c r="Q289" i="8"/>
  <c r="T289" i="8" s="1"/>
  <c r="U288" i="8"/>
  <c r="T288" i="8"/>
  <c r="N288" i="8"/>
  <c r="M288" i="8"/>
  <c r="L288" i="8"/>
  <c r="U287" i="8"/>
  <c r="T287" i="8"/>
  <c r="P287" i="8"/>
  <c r="O287" i="8"/>
  <c r="U286" i="8"/>
  <c r="T286" i="8"/>
  <c r="S286" i="8"/>
  <c r="R286" i="8"/>
  <c r="Q286" i="8"/>
  <c r="T285" i="8"/>
  <c r="S285" i="8"/>
  <c r="S283" i="8" s="1"/>
  <c r="R285" i="8"/>
  <c r="U285" i="8" s="1"/>
  <c r="Q285" i="8"/>
  <c r="S284" i="8"/>
  <c r="R284" i="8"/>
  <c r="Q284" i="8"/>
  <c r="P284" i="8"/>
  <c r="N284" i="8"/>
  <c r="M284" i="8"/>
  <c r="L284" i="8"/>
  <c r="J282" i="8"/>
  <c r="I277" i="8"/>
  <c r="K277" i="8" s="1"/>
  <c r="U275" i="8"/>
  <c r="T275" i="8"/>
  <c r="N275" i="8"/>
  <c r="M275" i="8"/>
  <c r="P275" i="8" s="1"/>
  <c r="L275" i="8"/>
  <c r="U274" i="8"/>
  <c r="T274" i="8"/>
  <c r="P274" i="8"/>
  <c r="O274" i="8"/>
  <c r="U273" i="8"/>
  <c r="T273" i="8"/>
  <c r="S273" i="8"/>
  <c r="R273" i="8"/>
  <c r="Q273" i="8"/>
  <c r="N273" i="8"/>
  <c r="M273" i="8"/>
  <c r="P273" i="8" s="1"/>
  <c r="S272" i="8"/>
  <c r="S269" i="8" s="1"/>
  <c r="S267" i="8" s="1"/>
  <c r="R272" i="8"/>
  <c r="R269" i="8" s="1"/>
  <c r="Q272" i="8"/>
  <c r="Q269" i="8" s="1"/>
  <c r="N272" i="8"/>
  <c r="N270" i="8" s="1"/>
  <c r="M272" i="8"/>
  <c r="M270" i="8" s="1"/>
  <c r="L272" i="8"/>
  <c r="U271" i="8"/>
  <c r="T271" i="8"/>
  <c r="P271" i="8"/>
  <c r="O271" i="8"/>
  <c r="U268" i="8"/>
  <c r="S268" i="8"/>
  <c r="R268" i="8"/>
  <c r="Q268" i="8"/>
  <c r="P268" i="8"/>
  <c r="O268" i="8"/>
  <c r="N268" i="8"/>
  <c r="M268" i="8"/>
  <c r="L268" i="8"/>
  <c r="J266" i="8"/>
  <c r="K264" i="8"/>
  <c r="K263" i="8"/>
  <c r="I261" i="8"/>
  <c r="K261" i="8" s="1"/>
  <c r="L259" i="8"/>
  <c r="L258" i="8"/>
  <c r="L257" i="8"/>
  <c r="L256" i="8"/>
  <c r="P255" i="8"/>
  <c r="N255" i="8"/>
  <c r="J254" i="8"/>
  <c r="J232" i="8" s="1"/>
  <c r="J186" i="8" s="1"/>
  <c r="K253" i="8"/>
  <c r="K252" i="8"/>
  <c r="I250" i="8"/>
  <c r="I243" i="8" s="1"/>
  <c r="L248" i="8"/>
  <c r="L247" i="8"/>
  <c r="L246" i="8"/>
  <c r="L245" i="8"/>
  <c r="P244" i="8"/>
  <c r="N244" i="8"/>
  <c r="N233" i="8" s="1"/>
  <c r="J243" i="8"/>
  <c r="J242" i="8"/>
  <c r="I242" i="8"/>
  <c r="K242" i="8" s="1"/>
  <c r="J241" i="8"/>
  <c r="I241" i="8"/>
  <c r="K241" i="8" s="1"/>
  <c r="J239" i="8"/>
  <c r="N237" i="8"/>
  <c r="N236" i="8"/>
  <c r="N235" i="8"/>
  <c r="N234" i="8"/>
  <c r="I231" i="8"/>
  <c r="I230" i="8"/>
  <c r="I229" i="8"/>
  <c r="K229" i="8" s="1"/>
  <c r="L226" i="8"/>
  <c r="L225" i="8"/>
  <c r="L224" i="8"/>
  <c r="P223" i="8"/>
  <c r="N223" i="8"/>
  <c r="J222" i="8"/>
  <c r="I221" i="8"/>
  <c r="I214" i="8" s="1"/>
  <c r="K214" i="8" s="1"/>
  <c r="I220" i="8"/>
  <c r="K220" i="8" s="1"/>
  <c r="L218" i="8"/>
  <c r="L217" i="8"/>
  <c r="L216" i="8"/>
  <c r="P215" i="8"/>
  <c r="N215" i="8"/>
  <c r="J214" i="8"/>
  <c r="I213" i="8"/>
  <c r="K213" i="8" s="1"/>
  <c r="I212" i="8"/>
  <c r="K212" i="8" s="1"/>
  <c r="I210" i="8"/>
  <c r="K210" i="8" s="1"/>
  <c r="L208" i="8"/>
  <c r="L207" i="8"/>
  <c r="L206" i="8"/>
  <c r="L205" i="8"/>
  <c r="P204" i="8"/>
  <c r="N204" i="8"/>
  <c r="J203" i="8"/>
  <c r="J200" i="8"/>
  <c r="I199" i="8"/>
  <c r="K199" i="8" s="1"/>
  <c r="P197" i="8"/>
  <c r="L197" i="8"/>
  <c r="O197" i="8" s="1"/>
  <c r="J196" i="8"/>
  <c r="U195" i="8"/>
  <c r="T195" i="8"/>
  <c r="N195" i="8"/>
  <c r="M195" i="8"/>
  <c r="P195" i="8" s="1"/>
  <c r="L195" i="8"/>
  <c r="U194" i="8"/>
  <c r="T194" i="8"/>
  <c r="P194" i="8"/>
  <c r="O194" i="8"/>
  <c r="T193" i="8"/>
  <c r="S193" i="8"/>
  <c r="R193" i="8"/>
  <c r="U193" i="8" s="1"/>
  <c r="Q193" i="8"/>
  <c r="S192" i="8"/>
  <c r="S189" i="8" s="1"/>
  <c r="S187" i="8" s="1"/>
  <c r="R192" i="8"/>
  <c r="R190" i="8" s="1"/>
  <c r="Q192" i="8"/>
  <c r="Q190" i="8" s="1"/>
  <c r="N192" i="8"/>
  <c r="N190" i="8" s="1"/>
  <c r="M192" i="8"/>
  <c r="M190" i="8" s="1"/>
  <c r="L192" i="8"/>
  <c r="L190" i="8" s="1"/>
  <c r="U191" i="8"/>
  <c r="T191" i="8"/>
  <c r="P191" i="8"/>
  <c r="O191" i="8"/>
  <c r="U188" i="8"/>
  <c r="T188" i="8"/>
  <c r="S188" i="8"/>
  <c r="R188" i="8"/>
  <c r="Q188" i="8"/>
  <c r="P188" i="8"/>
  <c r="O188" i="8"/>
  <c r="N188" i="8"/>
  <c r="M188" i="8"/>
  <c r="L188" i="8"/>
  <c r="K185" i="8"/>
  <c r="I184" i="8"/>
  <c r="K184" i="8" s="1"/>
  <c r="U182" i="8"/>
  <c r="T182" i="8"/>
  <c r="N182" i="8"/>
  <c r="N180" i="8" s="1"/>
  <c r="M182" i="8"/>
  <c r="M180" i="8" s="1"/>
  <c r="P180" i="8" s="1"/>
  <c r="L182" i="8"/>
  <c r="L180" i="8" s="1"/>
  <c r="O180" i="8" s="1"/>
  <c r="U181" i="8"/>
  <c r="T181" i="8"/>
  <c r="P181" i="8"/>
  <c r="O181" i="8"/>
  <c r="U180" i="8"/>
  <c r="S180" i="8"/>
  <c r="R180" i="8"/>
  <c r="Q180" i="8"/>
  <c r="T180" i="8" s="1"/>
  <c r="S179" i="8"/>
  <c r="S177" i="8" s="1"/>
  <c r="R179" i="8"/>
  <c r="R177" i="8" s="1"/>
  <c r="U177" i="8" s="1"/>
  <c r="Q179" i="8"/>
  <c r="Q176" i="8" s="1"/>
  <c r="T176" i="8" s="1"/>
  <c r="N179" i="8"/>
  <c r="N177" i="8" s="1"/>
  <c r="M179" i="8"/>
  <c r="M177" i="8" s="1"/>
  <c r="L179" i="8"/>
  <c r="L177" i="8" s="1"/>
  <c r="U178" i="8"/>
  <c r="T178" i="8"/>
  <c r="P178" i="8"/>
  <c r="O178" i="8"/>
  <c r="S175" i="8"/>
  <c r="R175" i="8"/>
  <c r="Q175" i="8"/>
  <c r="T175" i="8" s="1"/>
  <c r="P175" i="8"/>
  <c r="N175" i="8"/>
  <c r="M175" i="8"/>
  <c r="L175" i="8"/>
  <c r="J173" i="8"/>
  <c r="I170" i="8"/>
  <c r="K170" i="8" s="1"/>
  <c r="I169" i="8"/>
  <c r="K169" i="8" s="1"/>
  <c r="I168" i="8"/>
  <c r="K168" i="8" s="1"/>
  <c r="U166" i="8"/>
  <c r="T166" i="8"/>
  <c r="N166" i="8"/>
  <c r="N164" i="8" s="1"/>
  <c r="M166" i="8"/>
  <c r="M164" i="8" s="1"/>
  <c r="P164" i="8" s="1"/>
  <c r="L166" i="8"/>
  <c r="L164" i="8" s="1"/>
  <c r="O164" i="8" s="1"/>
  <c r="U165" i="8"/>
  <c r="T165" i="8"/>
  <c r="P165" i="8"/>
  <c r="O165" i="8"/>
  <c r="U164" i="8"/>
  <c r="S164" i="8"/>
  <c r="R164" i="8"/>
  <c r="Q164" i="8"/>
  <c r="T164" i="8" s="1"/>
  <c r="S163" i="8"/>
  <c r="S161" i="8" s="1"/>
  <c r="R163" i="8"/>
  <c r="R161" i="8" s="1"/>
  <c r="U161" i="8" s="1"/>
  <c r="Q163" i="8"/>
  <c r="Q160" i="8" s="1"/>
  <c r="N163" i="8"/>
  <c r="M163" i="8"/>
  <c r="M161" i="8" s="1"/>
  <c r="P161" i="8" s="1"/>
  <c r="L163" i="8"/>
  <c r="L161" i="8" s="1"/>
  <c r="O161" i="8" s="1"/>
  <c r="U162" i="8"/>
  <c r="T162" i="8"/>
  <c r="P162" i="8"/>
  <c r="O162" i="8"/>
  <c r="S159" i="8"/>
  <c r="R159" i="8"/>
  <c r="Q159" i="8"/>
  <c r="T159" i="8" s="1"/>
  <c r="N159" i="8"/>
  <c r="M159" i="8"/>
  <c r="L159" i="8"/>
  <c r="J157" i="8"/>
  <c r="I155" i="8"/>
  <c r="K155" i="8" s="1"/>
  <c r="I154" i="8"/>
  <c r="K154" i="8" s="1"/>
  <c r="I153" i="8"/>
  <c r="I138" i="8" s="1"/>
  <c r="K138" i="8" s="1"/>
  <c r="I152" i="8"/>
  <c r="K152" i="8" s="1"/>
  <c r="I151" i="8"/>
  <c r="K151" i="8" s="1"/>
  <c r="U148" i="8"/>
  <c r="T148" i="8"/>
  <c r="N148" i="8"/>
  <c r="N146" i="8" s="1"/>
  <c r="M148" i="8"/>
  <c r="M146" i="8" s="1"/>
  <c r="P146" i="8" s="1"/>
  <c r="L148" i="8"/>
  <c r="O148" i="8" s="1"/>
  <c r="U147" i="8"/>
  <c r="T147" i="8"/>
  <c r="P147" i="8"/>
  <c r="O147" i="8"/>
  <c r="T146" i="8"/>
  <c r="S146" i="8"/>
  <c r="R146" i="8"/>
  <c r="U146" i="8" s="1"/>
  <c r="Q146" i="8"/>
  <c r="S145" i="8"/>
  <c r="S143" i="8" s="1"/>
  <c r="R145" i="8"/>
  <c r="U145" i="8" s="1"/>
  <c r="Q145" i="8"/>
  <c r="Q143" i="8" s="1"/>
  <c r="T143" i="8" s="1"/>
  <c r="N145" i="8"/>
  <c r="M145" i="8"/>
  <c r="M143" i="8" s="1"/>
  <c r="P143" i="8" s="1"/>
  <c r="L145" i="8"/>
  <c r="O145" i="8" s="1"/>
  <c r="U144" i="8"/>
  <c r="T144" i="8"/>
  <c r="P144" i="8"/>
  <c r="O144" i="8"/>
  <c r="U141" i="8"/>
  <c r="T141" i="8"/>
  <c r="S141" i="8"/>
  <c r="R141" i="8"/>
  <c r="Q141" i="8"/>
  <c r="P141" i="8"/>
  <c r="O141" i="8"/>
  <c r="N141" i="8"/>
  <c r="M141" i="8"/>
  <c r="L141" i="8"/>
  <c r="J139" i="8"/>
  <c r="J138" i="8"/>
  <c r="J137" i="8"/>
  <c r="I131" i="8"/>
  <c r="K131" i="8" s="1"/>
  <c r="I130" i="8"/>
  <c r="K130" i="8" s="1"/>
  <c r="I129" i="8"/>
  <c r="K129" i="8" s="1"/>
  <c r="I128" i="8"/>
  <c r="U126" i="8"/>
  <c r="T126" i="8"/>
  <c r="N126" i="8"/>
  <c r="N124" i="8" s="1"/>
  <c r="M126" i="8"/>
  <c r="M124" i="8" s="1"/>
  <c r="P124" i="8" s="1"/>
  <c r="L126" i="8"/>
  <c r="L124" i="8" s="1"/>
  <c r="O124" i="8" s="1"/>
  <c r="U125" i="8"/>
  <c r="T125" i="8"/>
  <c r="P125" i="8"/>
  <c r="O125" i="8"/>
  <c r="U124" i="8"/>
  <c r="S124" i="8"/>
  <c r="R124" i="8"/>
  <c r="Q124" i="8"/>
  <c r="T124" i="8" s="1"/>
  <c r="S123" i="8"/>
  <c r="S121" i="8" s="1"/>
  <c r="R123" i="8"/>
  <c r="R121" i="8" s="1"/>
  <c r="Q123" i="8"/>
  <c r="Q120" i="8" s="1"/>
  <c r="N123" i="8"/>
  <c r="N121" i="8" s="1"/>
  <c r="M123" i="8"/>
  <c r="M121" i="8" s="1"/>
  <c r="P121" i="8" s="1"/>
  <c r="L123" i="8"/>
  <c r="L121" i="8" s="1"/>
  <c r="O121" i="8" s="1"/>
  <c r="U122" i="8"/>
  <c r="T122" i="8"/>
  <c r="P122" i="8"/>
  <c r="O122" i="8"/>
  <c r="S119" i="8"/>
  <c r="R119" i="8"/>
  <c r="Q119" i="8"/>
  <c r="T119" i="8" s="1"/>
  <c r="P119" i="8"/>
  <c r="N119" i="8"/>
  <c r="M119" i="8"/>
  <c r="L119" i="8"/>
  <c r="J117" i="8"/>
  <c r="I115" i="8"/>
  <c r="K115" i="8" s="1"/>
  <c r="I114" i="8"/>
  <c r="K114" i="8" s="1"/>
  <c r="I110" i="8"/>
  <c r="I109" i="8"/>
  <c r="K109" i="8" s="1"/>
  <c r="U103" i="8"/>
  <c r="T103" i="8"/>
  <c r="N103" i="8"/>
  <c r="N101" i="8" s="1"/>
  <c r="M103" i="8"/>
  <c r="P103" i="8" s="1"/>
  <c r="L103" i="8"/>
  <c r="O103" i="8" s="1"/>
  <c r="U102" i="8"/>
  <c r="T102" i="8"/>
  <c r="P102" i="8"/>
  <c r="O102" i="8"/>
  <c r="S101" i="8"/>
  <c r="R101" i="8"/>
  <c r="U101" i="8" s="1"/>
  <c r="Q101" i="8"/>
  <c r="T101" i="8" s="1"/>
  <c r="S100" i="8"/>
  <c r="R100" i="8"/>
  <c r="R98" i="8" s="1"/>
  <c r="Q100" i="8"/>
  <c r="Q97" i="8" s="1"/>
  <c r="Q95" i="8" s="1"/>
  <c r="N100" i="8"/>
  <c r="N98" i="8" s="1"/>
  <c r="M100" i="8"/>
  <c r="M98" i="8" s="1"/>
  <c r="P98" i="8" s="1"/>
  <c r="L100" i="8"/>
  <c r="L98" i="8" s="1"/>
  <c r="O98" i="8" s="1"/>
  <c r="U99" i="8"/>
  <c r="T99" i="8"/>
  <c r="P99" i="8"/>
  <c r="O99" i="8"/>
  <c r="U96" i="8"/>
  <c r="T96" i="8"/>
  <c r="S96" i="8"/>
  <c r="R96" i="8"/>
  <c r="Q96" i="8"/>
  <c r="O96" i="8"/>
  <c r="N96" i="8"/>
  <c r="M96" i="8"/>
  <c r="P96" i="8" s="1"/>
  <c r="L96" i="8"/>
  <c r="J94" i="8"/>
  <c r="J93" i="8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J84" i="8"/>
  <c r="J83" i="8"/>
  <c r="J71" i="8" s="1"/>
  <c r="U81" i="8"/>
  <c r="T81" i="8"/>
  <c r="N81" i="8"/>
  <c r="N79" i="8" s="1"/>
  <c r="M81" i="8"/>
  <c r="M79" i="8" s="1"/>
  <c r="P79" i="8" s="1"/>
  <c r="L81" i="8"/>
  <c r="O81" i="8" s="1"/>
  <c r="U80" i="8"/>
  <c r="T80" i="8"/>
  <c r="P80" i="8"/>
  <c r="O80" i="8"/>
  <c r="U79" i="8"/>
  <c r="S79" i="8"/>
  <c r="R79" i="8"/>
  <c r="Q79" i="8"/>
  <c r="T79" i="8" s="1"/>
  <c r="S78" i="8"/>
  <c r="S75" i="8" s="1"/>
  <c r="R78" i="8"/>
  <c r="Q78" i="8"/>
  <c r="T78" i="8" s="1"/>
  <c r="N78" i="8"/>
  <c r="N76" i="8" s="1"/>
  <c r="M78" i="8"/>
  <c r="M76" i="8" s="1"/>
  <c r="P76" i="8" s="1"/>
  <c r="L78" i="8"/>
  <c r="U77" i="8"/>
  <c r="T77" i="8"/>
  <c r="P77" i="8"/>
  <c r="O77" i="8"/>
  <c r="T74" i="8"/>
  <c r="S74" i="8"/>
  <c r="R74" i="8"/>
  <c r="U74" i="8" s="1"/>
  <c r="Q74" i="8"/>
  <c r="N74" i="8"/>
  <c r="M74" i="8"/>
  <c r="L74" i="8"/>
  <c r="O74" i="8" s="1"/>
  <c r="J72" i="8"/>
  <c r="U68" i="8"/>
  <c r="T68" i="8"/>
  <c r="N68" i="8"/>
  <c r="N66" i="8" s="1"/>
  <c r="M68" i="8"/>
  <c r="M66" i="8" s="1"/>
  <c r="P66" i="8" s="1"/>
  <c r="L68" i="8"/>
  <c r="L66" i="8" s="1"/>
  <c r="O66" i="8" s="1"/>
  <c r="U67" i="8"/>
  <c r="T67" i="8"/>
  <c r="P67" i="8"/>
  <c r="O67" i="8"/>
  <c r="T66" i="8"/>
  <c r="S66" i="8"/>
  <c r="R66" i="8"/>
  <c r="U66" i="8" s="1"/>
  <c r="Q66" i="8"/>
  <c r="U65" i="8"/>
  <c r="T65" i="8"/>
  <c r="N65" i="8"/>
  <c r="N63" i="8" s="1"/>
  <c r="M65" i="8"/>
  <c r="M63" i="8" s="1"/>
  <c r="L65" i="8"/>
  <c r="L63" i="8" s="1"/>
  <c r="U64" i="8"/>
  <c r="T64" i="8"/>
  <c r="P64" i="8"/>
  <c r="O64" i="8"/>
  <c r="S63" i="8"/>
  <c r="R63" i="8"/>
  <c r="U63" i="8" s="1"/>
  <c r="Q63" i="8"/>
  <c r="T63" i="8" s="1"/>
  <c r="U62" i="8"/>
  <c r="T62" i="8"/>
  <c r="S62" i="8"/>
  <c r="R62" i="8"/>
  <c r="Q62" i="8"/>
  <c r="T61" i="8"/>
  <c r="S61" i="8"/>
  <c r="R61" i="8"/>
  <c r="U61" i="8" s="1"/>
  <c r="Q61" i="8"/>
  <c r="N61" i="8"/>
  <c r="M61" i="8"/>
  <c r="L61" i="8"/>
  <c r="O61" i="8" s="1"/>
  <c r="R60" i="8"/>
  <c r="U60" i="8" s="1"/>
  <c r="Q60" i="8"/>
  <c r="T60" i="8" s="1"/>
  <c r="U53" i="8"/>
  <c r="T53" i="8"/>
  <c r="N53" i="8"/>
  <c r="M53" i="8"/>
  <c r="L53" i="8"/>
  <c r="U52" i="8"/>
  <c r="T52" i="8"/>
  <c r="P52" i="8"/>
  <c r="O52" i="8"/>
  <c r="U51" i="8"/>
  <c r="T51" i="8"/>
  <c r="S51" i="8"/>
  <c r="R51" i="8"/>
  <c r="Q51" i="8"/>
  <c r="N51" i="8"/>
  <c r="U50" i="8"/>
  <c r="T50" i="8"/>
  <c r="N50" i="8"/>
  <c r="N48" i="8" s="1"/>
  <c r="M50" i="8"/>
  <c r="L50" i="8"/>
  <c r="U49" i="8"/>
  <c r="T49" i="8"/>
  <c r="P49" i="8"/>
  <c r="O49" i="8"/>
  <c r="U48" i="8"/>
  <c r="S48" i="8"/>
  <c r="R48" i="8"/>
  <c r="Q48" i="8"/>
  <c r="T48" i="8" s="1"/>
  <c r="U47" i="8"/>
  <c r="T47" i="8"/>
  <c r="S47" i="8"/>
  <c r="R47" i="8"/>
  <c r="Q47" i="8"/>
  <c r="S46" i="8"/>
  <c r="R46" i="8"/>
  <c r="U46" i="8" s="1"/>
  <c r="Q46" i="8"/>
  <c r="T46" i="8" s="1"/>
  <c r="N46" i="8"/>
  <c r="M46" i="8"/>
  <c r="L46" i="8"/>
  <c r="O46" i="8" s="1"/>
  <c r="R45" i="8"/>
  <c r="U45" i="8" s="1"/>
  <c r="Q45" i="8"/>
  <c r="T45" i="8" s="1"/>
  <c r="U27" i="8"/>
  <c r="T27" i="8"/>
  <c r="S27" i="8"/>
  <c r="R27" i="8"/>
  <c r="Q27" i="8"/>
  <c r="S26" i="8"/>
  <c r="S25" i="8" s="1"/>
  <c r="R26" i="8"/>
  <c r="Q26" i="8"/>
  <c r="T26" i="8" s="1"/>
  <c r="N26" i="8"/>
  <c r="M26" i="8"/>
  <c r="L26" i="8"/>
  <c r="Q25" i="8"/>
  <c r="T25" i="8" s="1"/>
  <c r="S23" i="8"/>
  <c r="R23" i="8"/>
  <c r="R20" i="8" s="1"/>
  <c r="Q23" i="8"/>
  <c r="T23" i="8" s="1"/>
  <c r="N23" i="8"/>
  <c r="M23" i="8"/>
  <c r="L23" i="8"/>
  <c r="Q20" i="8"/>
  <c r="T20" i="8" s="1"/>
  <c r="N20" i="8"/>
  <c r="A790" i="7"/>
  <c r="A789" i="7"/>
  <c r="J786" i="7"/>
  <c r="I786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H778" i="7"/>
  <c r="I777" i="7"/>
  <c r="I776" i="7"/>
  <c r="I775" i="7"/>
  <c r="I760" i="7" s="1"/>
  <c r="K760" i="7" s="1"/>
  <c r="I773" i="7"/>
  <c r="K773" i="7" s="1"/>
  <c r="I771" i="7"/>
  <c r="K771" i="7" s="1"/>
  <c r="U769" i="7"/>
  <c r="T769" i="7"/>
  <c r="P769" i="7"/>
  <c r="O769" i="7"/>
  <c r="U768" i="7"/>
  <c r="T768" i="7"/>
  <c r="P768" i="7"/>
  <c r="O768" i="7"/>
  <c r="S767" i="7"/>
  <c r="R767" i="7"/>
  <c r="U767" i="7" s="1"/>
  <c r="Q767" i="7"/>
  <c r="T767" i="7" s="1"/>
  <c r="P767" i="7"/>
  <c r="N767" i="7"/>
  <c r="M767" i="7"/>
  <c r="L767" i="7"/>
  <c r="O767" i="7" s="1"/>
  <c r="S766" i="7"/>
  <c r="R766" i="7"/>
  <c r="R763" i="7" s="1"/>
  <c r="R761" i="7" s="1"/>
  <c r="Q766" i="7"/>
  <c r="Q763" i="7" s="1"/>
  <c r="P766" i="7"/>
  <c r="O766" i="7"/>
  <c r="U765" i="7"/>
  <c r="T765" i="7"/>
  <c r="P765" i="7"/>
  <c r="O765" i="7"/>
  <c r="N764" i="7"/>
  <c r="M764" i="7"/>
  <c r="P764" i="7" s="1"/>
  <c r="L764" i="7"/>
  <c r="O764" i="7" s="1"/>
  <c r="O763" i="7"/>
  <c r="N763" i="7"/>
  <c r="M763" i="7"/>
  <c r="P763" i="7" s="1"/>
  <c r="L763" i="7"/>
  <c r="U762" i="7"/>
  <c r="S762" i="7"/>
  <c r="R762" i="7"/>
  <c r="Q762" i="7"/>
  <c r="O762" i="7"/>
  <c r="N762" i="7"/>
  <c r="M762" i="7"/>
  <c r="L762" i="7"/>
  <c r="O761" i="7"/>
  <c r="N761" i="7"/>
  <c r="L761" i="7"/>
  <c r="J760" i="7"/>
  <c r="J759" i="7"/>
  <c r="I756" i="7"/>
  <c r="K756" i="7" s="1"/>
  <c r="I753" i="7"/>
  <c r="K753" i="7" s="1"/>
  <c r="I750" i="7"/>
  <c r="K750" i="7" s="1"/>
  <c r="I747" i="7"/>
  <c r="K747" i="7" s="1"/>
  <c r="I745" i="7"/>
  <c r="K745" i="7" s="1"/>
  <c r="I743" i="7"/>
  <c r="K743" i="7" s="1"/>
  <c r="I741" i="7"/>
  <c r="K741" i="7" s="1"/>
  <c r="U737" i="7"/>
  <c r="T737" i="7"/>
  <c r="P737" i="7"/>
  <c r="O737" i="7"/>
  <c r="U736" i="7"/>
  <c r="T736" i="7"/>
  <c r="P736" i="7"/>
  <c r="O736" i="7"/>
  <c r="U735" i="7"/>
  <c r="T735" i="7"/>
  <c r="S735" i="7"/>
  <c r="R735" i="7"/>
  <c r="Q735" i="7"/>
  <c r="O735" i="7"/>
  <c r="N735" i="7"/>
  <c r="M735" i="7"/>
  <c r="P735" i="7" s="1"/>
  <c r="L735" i="7"/>
  <c r="S734" i="7"/>
  <c r="S731" i="7" s="1"/>
  <c r="R734" i="7"/>
  <c r="Q734" i="7"/>
  <c r="Q731" i="7" s="1"/>
  <c r="P734" i="7"/>
  <c r="O734" i="7"/>
  <c r="U733" i="7"/>
  <c r="T733" i="7"/>
  <c r="P733" i="7"/>
  <c r="O733" i="7"/>
  <c r="N732" i="7"/>
  <c r="M732" i="7"/>
  <c r="P732" i="7" s="1"/>
  <c r="L732" i="7"/>
  <c r="O732" i="7" s="1"/>
  <c r="P731" i="7"/>
  <c r="O731" i="7"/>
  <c r="N731" i="7"/>
  <c r="M731" i="7"/>
  <c r="L731" i="7"/>
  <c r="U730" i="7"/>
  <c r="T730" i="7"/>
  <c r="S730" i="7"/>
  <c r="R730" i="7"/>
  <c r="Q730" i="7"/>
  <c r="O730" i="7"/>
  <c r="N730" i="7"/>
  <c r="M730" i="7"/>
  <c r="L730" i="7"/>
  <c r="N729" i="7"/>
  <c r="J728" i="7"/>
  <c r="I728" i="7"/>
  <c r="J727" i="7"/>
  <c r="I727" i="7"/>
  <c r="K727" i="7" s="1"/>
  <c r="U723" i="7"/>
  <c r="T723" i="7"/>
  <c r="P723" i="7"/>
  <c r="O723" i="7"/>
  <c r="U722" i="7"/>
  <c r="T722" i="7"/>
  <c r="P722" i="7"/>
  <c r="O722" i="7"/>
  <c r="T721" i="7"/>
  <c r="S721" i="7"/>
  <c r="R721" i="7"/>
  <c r="U721" i="7" s="1"/>
  <c r="Q721" i="7"/>
  <c r="N721" i="7"/>
  <c r="M721" i="7"/>
  <c r="P721" i="7" s="1"/>
  <c r="L721" i="7"/>
  <c r="O721" i="7" s="1"/>
  <c r="U720" i="7"/>
  <c r="T720" i="7"/>
  <c r="P720" i="7"/>
  <c r="O720" i="7"/>
  <c r="U719" i="7"/>
  <c r="T719" i="7"/>
  <c r="P719" i="7"/>
  <c r="O719" i="7"/>
  <c r="S718" i="7"/>
  <c r="R718" i="7"/>
  <c r="U718" i="7" s="1"/>
  <c r="Q718" i="7"/>
  <c r="T718" i="7" s="1"/>
  <c r="P718" i="7"/>
  <c r="N718" i="7"/>
  <c r="M718" i="7"/>
  <c r="L718" i="7"/>
  <c r="O718" i="7" s="1"/>
  <c r="U717" i="7"/>
  <c r="T717" i="7"/>
  <c r="S717" i="7"/>
  <c r="R717" i="7"/>
  <c r="Q717" i="7"/>
  <c r="P717" i="7"/>
  <c r="O717" i="7"/>
  <c r="N717" i="7"/>
  <c r="M717" i="7"/>
  <c r="L717" i="7"/>
  <c r="T716" i="7"/>
  <c r="S716" i="7"/>
  <c r="S715" i="7" s="1"/>
  <c r="R716" i="7"/>
  <c r="Q716" i="7"/>
  <c r="N716" i="7"/>
  <c r="M716" i="7"/>
  <c r="L716" i="7"/>
  <c r="T715" i="7"/>
  <c r="Q715" i="7"/>
  <c r="N715" i="7"/>
  <c r="K713" i="7"/>
  <c r="J713" i="7"/>
  <c r="K711" i="7"/>
  <c r="J711" i="7"/>
  <c r="J710" i="7"/>
  <c r="I710" i="7"/>
  <c r="K710" i="7" s="1"/>
  <c r="K709" i="7"/>
  <c r="J709" i="7"/>
  <c r="J708" i="7"/>
  <c r="J690" i="7" s="1"/>
  <c r="I708" i="7"/>
  <c r="K708" i="7" s="1"/>
  <c r="K707" i="7"/>
  <c r="J707" i="7"/>
  <c r="J706" i="7"/>
  <c r="I706" i="7"/>
  <c r="K706" i="7" s="1"/>
  <c r="K705" i="7"/>
  <c r="J705" i="7"/>
  <c r="J704" i="7"/>
  <c r="I704" i="7"/>
  <c r="K704" i="7" s="1"/>
  <c r="K703" i="7"/>
  <c r="I701" i="7"/>
  <c r="K701" i="7" s="1"/>
  <c r="U699" i="7"/>
  <c r="T699" i="7"/>
  <c r="P699" i="7"/>
  <c r="O699" i="7"/>
  <c r="U698" i="7"/>
  <c r="T698" i="7"/>
  <c r="P698" i="7"/>
  <c r="O698" i="7"/>
  <c r="S697" i="7"/>
  <c r="R697" i="7"/>
  <c r="U697" i="7" s="1"/>
  <c r="Q697" i="7"/>
  <c r="T697" i="7" s="1"/>
  <c r="N697" i="7"/>
  <c r="M697" i="7"/>
  <c r="P697" i="7" s="1"/>
  <c r="L697" i="7"/>
  <c r="O697" i="7" s="1"/>
  <c r="S696" i="7"/>
  <c r="S694" i="7" s="1"/>
  <c r="R696" i="7"/>
  <c r="U696" i="7" s="1"/>
  <c r="Q696" i="7"/>
  <c r="P696" i="7"/>
  <c r="O696" i="7"/>
  <c r="U695" i="7"/>
  <c r="T695" i="7"/>
  <c r="P695" i="7"/>
  <c r="O695" i="7"/>
  <c r="N694" i="7"/>
  <c r="M694" i="7"/>
  <c r="P694" i="7" s="1"/>
  <c r="L694" i="7"/>
  <c r="O694" i="7" s="1"/>
  <c r="S693" i="7"/>
  <c r="S691" i="7" s="1"/>
  <c r="P693" i="7"/>
  <c r="O693" i="7"/>
  <c r="N693" i="7"/>
  <c r="M693" i="7"/>
  <c r="M691" i="7" s="1"/>
  <c r="P691" i="7" s="1"/>
  <c r="L693" i="7"/>
  <c r="U692" i="7"/>
  <c r="T692" i="7"/>
  <c r="S692" i="7"/>
  <c r="R692" i="7"/>
  <c r="Q692" i="7"/>
  <c r="O692" i="7"/>
  <c r="N692" i="7"/>
  <c r="N691" i="7" s="1"/>
  <c r="M692" i="7"/>
  <c r="P692" i="7" s="1"/>
  <c r="L692" i="7"/>
  <c r="L691" i="7" s="1"/>
  <c r="O691" i="7" s="1"/>
  <c r="J683" i="7"/>
  <c r="I683" i="7"/>
  <c r="K683" i="7" s="1"/>
  <c r="J682" i="7"/>
  <c r="I682" i="7"/>
  <c r="K682" i="7" s="1"/>
  <c r="J681" i="7"/>
  <c r="J680" i="7"/>
  <c r="I680" i="7"/>
  <c r="K680" i="7" s="1"/>
  <c r="J679" i="7"/>
  <c r="I679" i="7"/>
  <c r="K679" i="7" s="1"/>
  <c r="J678" i="7"/>
  <c r="J677" i="7"/>
  <c r="I677" i="7"/>
  <c r="K677" i="7" s="1"/>
  <c r="I676" i="7"/>
  <c r="K676" i="7" s="1"/>
  <c r="I675" i="7"/>
  <c r="K675" i="7" s="1"/>
  <c r="J674" i="7"/>
  <c r="I674" i="7"/>
  <c r="K674" i="7" s="1"/>
  <c r="J673" i="7"/>
  <c r="J672" i="7"/>
  <c r="J662" i="7"/>
  <c r="I662" i="7"/>
  <c r="K662" i="7" s="1"/>
  <c r="I661" i="7"/>
  <c r="I658" i="7"/>
  <c r="J655" i="7"/>
  <c r="I655" i="7"/>
  <c r="K655" i="7" s="1"/>
  <c r="J654" i="7"/>
  <c r="I654" i="7"/>
  <c r="J653" i="7"/>
  <c r="I653" i="7"/>
  <c r="K653" i="7" s="1"/>
  <c r="U651" i="7"/>
  <c r="T651" i="7"/>
  <c r="P651" i="7"/>
  <c r="O651" i="7"/>
  <c r="U650" i="7"/>
  <c r="T650" i="7"/>
  <c r="P650" i="7"/>
  <c r="O650" i="7"/>
  <c r="U649" i="7"/>
  <c r="T649" i="7"/>
  <c r="S649" i="7"/>
  <c r="R649" i="7"/>
  <c r="Q649" i="7"/>
  <c r="P649" i="7"/>
  <c r="O649" i="7"/>
  <c r="N649" i="7"/>
  <c r="M649" i="7"/>
  <c r="L649" i="7"/>
  <c r="S648" i="7"/>
  <c r="R648" i="7"/>
  <c r="R646" i="7" s="1"/>
  <c r="Q648" i="7"/>
  <c r="Q646" i="7" s="1"/>
  <c r="P648" i="7"/>
  <c r="O648" i="7"/>
  <c r="U647" i="7"/>
  <c r="T647" i="7"/>
  <c r="P647" i="7"/>
  <c r="O647" i="7"/>
  <c r="P646" i="7"/>
  <c r="O646" i="7"/>
  <c r="N646" i="7"/>
  <c r="M646" i="7"/>
  <c r="L646" i="7"/>
  <c r="O645" i="7"/>
  <c r="N645" i="7"/>
  <c r="M645" i="7"/>
  <c r="L645" i="7"/>
  <c r="S644" i="7"/>
  <c r="R644" i="7"/>
  <c r="Q644" i="7"/>
  <c r="O644" i="7"/>
  <c r="N644" i="7"/>
  <c r="M644" i="7"/>
  <c r="P644" i="7" s="1"/>
  <c r="L644" i="7"/>
  <c r="L643" i="7"/>
  <c r="O643" i="7" s="1"/>
  <c r="J637" i="7"/>
  <c r="J636" i="7"/>
  <c r="I636" i="7"/>
  <c r="K636" i="7" s="1"/>
  <c r="J633" i="7"/>
  <c r="I629" i="7"/>
  <c r="K629" i="7" s="1"/>
  <c r="I628" i="7"/>
  <c r="K628" i="7" s="1"/>
  <c r="J627" i="7"/>
  <c r="I627" i="7"/>
  <c r="K632" i="7" s="1"/>
  <c r="U625" i="7"/>
  <c r="T625" i="7"/>
  <c r="P625" i="7"/>
  <c r="O625" i="7"/>
  <c r="U624" i="7"/>
  <c r="T624" i="7"/>
  <c r="P624" i="7"/>
  <c r="O624" i="7"/>
  <c r="U623" i="7"/>
  <c r="T623" i="7"/>
  <c r="S623" i="7"/>
  <c r="R623" i="7"/>
  <c r="Q623" i="7"/>
  <c r="O623" i="7"/>
  <c r="N623" i="7"/>
  <c r="M623" i="7"/>
  <c r="P623" i="7" s="1"/>
  <c r="L623" i="7"/>
  <c r="S622" i="7"/>
  <c r="S619" i="7" s="1"/>
  <c r="S617" i="7" s="1"/>
  <c r="R622" i="7"/>
  <c r="R619" i="7" s="1"/>
  <c r="Q622" i="7"/>
  <c r="P622" i="7"/>
  <c r="O622" i="7"/>
  <c r="U621" i="7"/>
  <c r="T621" i="7"/>
  <c r="P621" i="7"/>
  <c r="O621" i="7"/>
  <c r="N620" i="7"/>
  <c r="M620" i="7"/>
  <c r="P620" i="7" s="1"/>
  <c r="L620" i="7"/>
  <c r="O620" i="7" s="1"/>
  <c r="P619" i="7"/>
  <c r="N619" i="7"/>
  <c r="M619" i="7"/>
  <c r="L619" i="7"/>
  <c r="O619" i="7" s="1"/>
  <c r="U618" i="7"/>
  <c r="T618" i="7"/>
  <c r="S618" i="7"/>
  <c r="R618" i="7"/>
  <c r="Q618" i="7"/>
  <c r="P618" i="7"/>
  <c r="O618" i="7"/>
  <c r="N618" i="7"/>
  <c r="M618" i="7"/>
  <c r="M617" i="7" s="1"/>
  <c r="P617" i="7" s="1"/>
  <c r="L618" i="7"/>
  <c r="N617" i="7"/>
  <c r="J616" i="7"/>
  <c r="U608" i="7"/>
  <c r="T608" i="7"/>
  <c r="P608" i="7"/>
  <c r="O608" i="7"/>
  <c r="U607" i="7"/>
  <c r="T607" i="7"/>
  <c r="P607" i="7"/>
  <c r="O607" i="7"/>
  <c r="U606" i="7"/>
  <c r="S606" i="7"/>
  <c r="R606" i="7"/>
  <c r="Q606" i="7"/>
  <c r="T606" i="7" s="1"/>
  <c r="O606" i="7"/>
  <c r="N606" i="7"/>
  <c r="M606" i="7"/>
  <c r="P606" i="7" s="1"/>
  <c r="L606" i="7"/>
  <c r="U605" i="7"/>
  <c r="T605" i="7"/>
  <c r="P605" i="7"/>
  <c r="O605" i="7"/>
  <c r="U604" i="7"/>
  <c r="T604" i="7"/>
  <c r="P604" i="7"/>
  <c r="O604" i="7"/>
  <c r="U603" i="7"/>
  <c r="S603" i="7"/>
  <c r="R603" i="7"/>
  <c r="Q603" i="7"/>
  <c r="T603" i="7" s="1"/>
  <c r="O603" i="7"/>
  <c r="N603" i="7"/>
  <c r="M603" i="7"/>
  <c r="P603" i="7" s="1"/>
  <c r="L603" i="7"/>
  <c r="U602" i="7"/>
  <c r="S602" i="7"/>
  <c r="R602" i="7"/>
  <c r="Q602" i="7"/>
  <c r="O602" i="7"/>
  <c r="N602" i="7"/>
  <c r="N600" i="7" s="1"/>
  <c r="M602" i="7"/>
  <c r="P602" i="7" s="1"/>
  <c r="L602" i="7"/>
  <c r="S601" i="7"/>
  <c r="S600" i="7" s="1"/>
  <c r="R601" i="7"/>
  <c r="Q601" i="7"/>
  <c r="T601" i="7" s="1"/>
  <c r="N601" i="7"/>
  <c r="M601" i="7"/>
  <c r="P601" i="7" s="1"/>
  <c r="L601" i="7"/>
  <c r="U585" i="7"/>
  <c r="T585" i="7"/>
  <c r="P585" i="7"/>
  <c r="O585" i="7"/>
  <c r="U584" i="7"/>
  <c r="T584" i="7"/>
  <c r="P584" i="7"/>
  <c r="O584" i="7"/>
  <c r="U583" i="7"/>
  <c r="S583" i="7"/>
  <c r="R583" i="7"/>
  <c r="Q583" i="7"/>
  <c r="T583" i="7" s="1"/>
  <c r="O583" i="7"/>
  <c r="N583" i="7"/>
  <c r="M583" i="7"/>
  <c r="P583" i="7" s="1"/>
  <c r="L583" i="7"/>
  <c r="U582" i="7"/>
  <c r="T582" i="7"/>
  <c r="P582" i="7"/>
  <c r="O582" i="7"/>
  <c r="U581" i="7"/>
  <c r="T581" i="7"/>
  <c r="P581" i="7"/>
  <c r="O581" i="7"/>
  <c r="U580" i="7"/>
  <c r="S580" i="7"/>
  <c r="R580" i="7"/>
  <c r="Q580" i="7"/>
  <c r="T580" i="7" s="1"/>
  <c r="O580" i="7"/>
  <c r="N580" i="7"/>
  <c r="M580" i="7"/>
  <c r="P580" i="7" s="1"/>
  <c r="L580" i="7"/>
  <c r="U579" i="7"/>
  <c r="S579" i="7"/>
  <c r="R579" i="7"/>
  <c r="Q579" i="7"/>
  <c r="O579" i="7"/>
  <c r="N579" i="7"/>
  <c r="N577" i="7" s="1"/>
  <c r="M579" i="7"/>
  <c r="P579" i="7" s="1"/>
  <c r="L579" i="7"/>
  <c r="S578" i="7"/>
  <c r="S577" i="7" s="1"/>
  <c r="R578" i="7"/>
  <c r="Q578" i="7"/>
  <c r="T578" i="7" s="1"/>
  <c r="N578" i="7"/>
  <c r="M578" i="7"/>
  <c r="P578" i="7" s="1"/>
  <c r="L578" i="7"/>
  <c r="M577" i="7"/>
  <c r="P577" i="7" s="1"/>
  <c r="K576" i="7"/>
  <c r="J576" i="7"/>
  <c r="I576" i="7"/>
  <c r="U564" i="7"/>
  <c r="T564" i="7"/>
  <c r="P564" i="7"/>
  <c r="O564" i="7"/>
  <c r="U563" i="7"/>
  <c r="T563" i="7"/>
  <c r="P563" i="7"/>
  <c r="O563" i="7"/>
  <c r="T562" i="7"/>
  <c r="S562" i="7"/>
  <c r="R562" i="7"/>
  <c r="U562" i="7" s="1"/>
  <c r="Q562" i="7"/>
  <c r="N562" i="7"/>
  <c r="M562" i="7"/>
  <c r="P562" i="7" s="1"/>
  <c r="L562" i="7"/>
  <c r="O562" i="7" s="1"/>
  <c r="U561" i="7"/>
  <c r="T561" i="7"/>
  <c r="P561" i="7"/>
  <c r="O561" i="7"/>
  <c r="U560" i="7"/>
  <c r="T560" i="7"/>
  <c r="P560" i="7"/>
  <c r="O560" i="7"/>
  <c r="S559" i="7"/>
  <c r="R559" i="7"/>
  <c r="U559" i="7" s="1"/>
  <c r="Q559" i="7"/>
  <c r="T559" i="7" s="1"/>
  <c r="N559" i="7"/>
  <c r="M559" i="7"/>
  <c r="P559" i="7" s="1"/>
  <c r="L559" i="7"/>
  <c r="O559" i="7" s="1"/>
  <c r="U558" i="7"/>
  <c r="T558" i="7"/>
  <c r="S558" i="7"/>
  <c r="R558" i="7"/>
  <c r="Q558" i="7"/>
  <c r="Q556" i="7" s="1"/>
  <c r="P558" i="7"/>
  <c r="O558" i="7"/>
  <c r="N558" i="7"/>
  <c r="M558" i="7"/>
  <c r="L558" i="7"/>
  <c r="S557" i="7"/>
  <c r="S556" i="7" s="1"/>
  <c r="R557" i="7"/>
  <c r="Q557" i="7"/>
  <c r="T557" i="7" s="1"/>
  <c r="N557" i="7"/>
  <c r="M557" i="7"/>
  <c r="P557" i="7" s="1"/>
  <c r="L557" i="7"/>
  <c r="T556" i="7"/>
  <c r="N556" i="7"/>
  <c r="M556" i="7"/>
  <c r="P556" i="7" s="1"/>
  <c r="K555" i="7"/>
  <c r="J555" i="7"/>
  <c r="I555" i="7"/>
  <c r="U543" i="7"/>
  <c r="T543" i="7"/>
  <c r="P543" i="7"/>
  <c r="O543" i="7"/>
  <c r="U542" i="7"/>
  <c r="T542" i="7"/>
  <c r="P542" i="7"/>
  <c r="O542" i="7"/>
  <c r="T541" i="7"/>
  <c r="S541" i="7"/>
  <c r="R541" i="7"/>
  <c r="U541" i="7" s="1"/>
  <c r="Q541" i="7"/>
  <c r="N541" i="7"/>
  <c r="M541" i="7"/>
  <c r="P541" i="7" s="1"/>
  <c r="L541" i="7"/>
  <c r="O541" i="7" s="1"/>
  <c r="U540" i="7"/>
  <c r="T540" i="7"/>
  <c r="P540" i="7"/>
  <c r="O540" i="7"/>
  <c r="U539" i="7"/>
  <c r="T539" i="7"/>
  <c r="P539" i="7"/>
  <c r="O539" i="7"/>
  <c r="S538" i="7"/>
  <c r="R538" i="7"/>
  <c r="U538" i="7" s="1"/>
  <c r="Q538" i="7"/>
  <c r="T538" i="7" s="1"/>
  <c r="P538" i="7"/>
  <c r="N538" i="7"/>
  <c r="M538" i="7"/>
  <c r="L538" i="7"/>
  <c r="O538" i="7" s="1"/>
  <c r="U537" i="7"/>
  <c r="T537" i="7"/>
  <c r="S537" i="7"/>
  <c r="R537" i="7"/>
  <c r="Q537" i="7"/>
  <c r="P537" i="7"/>
  <c r="O537" i="7"/>
  <c r="N537" i="7"/>
  <c r="M537" i="7"/>
  <c r="L537" i="7"/>
  <c r="T536" i="7"/>
  <c r="S536" i="7"/>
  <c r="S535" i="7" s="1"/>
  <c r="R536" i="7"/>
  <c r="Q536" i="7"/>
  <c r="N536" i="7"/>
  <c r="M536" i="7"/>
  <c r="P536" i="7" s="1"/>
  <c r="L536" i="7"/>
  <c r="T535" i="7"/>
  <c r="Q535" i="7"/>
  <c r="P535" i="7"/>
  <c r="N535" i="7"/>
  <c r="M535" i="7"/>
  <c r="K534" i="7"/>
  <c r="J534" i="7"/>
  <c r="I534" i="7"/>
  <c r="K525" i="7"/>
  <c r="K524" i="7"/>
  <c r="U522" i="7"/>
  <c r="T522" i="7"/>
  <c r="N522" i="7"/>
  <c r="N520" i="7" s="1"/>
  <c r="M522" i="7"/>
  <c r="P522" i="7" s="1"/>
  <c r="L522" i="7"/>
  <c r="O522" i="7" s="1"/>
  <c r="U521" i="7"/>
  <c r="T521" i="7"/>
  <c r="P521" i="7"/>
  <c r="O521" i="7"/>
  <c r="U520" i="7"/>
  <c r="T520" i="7"/>
  <c r="S520" i="7"/>
  <c r="R520" i="7"/>
  <c r="Q520" i="7"/>
  <c r="U519" i="7"/>
  <c r="T519" i="7"/>
  <c r="N519" i="7"/>
  <c r="N517" i="7" s="1"/>
  <c r="M519" i="7"/>
  <c r="P519" i="7" s="1"/>
  <c r="L519" i="7"/>
  <c r="O519" i="7" s="1"/>
  <c r="U518" i="7"/>
  <c r="T518" i="7"/>
  <c r="P518" i="7"/>
  <c r="O518" i="7"/>
  <c r="U517" i="7"/>
  <c r="S517" i="7"/>
  <c r="R517" i="7"/>
  <c r="Q517" i="7"/>
  <c r="T517" i="7" s="1"/>
  <c r="U516" i="7"/>
  <c r="T516" i="7"/>
  <c r="S516" i="7"/>
  <c r="S514" i="7" s="1"/>
  <c r="R516" i="7"/>
  <c r="Q516" i="7"/>
  <c r="U515" i="7"/>
  <c r="S515" i="7"/>
  <c r="R515" i="7"/>
  <c r="Q515" i="7"/>
  <c r="O515" i="7"/>
  <c r="N515" i="7"/>
  <c r="M515" i="7"/>
  <c r="P515" i="7" s="1"/>
  <c r="L515" i="7"/>
  <c r="R514" i="7"/>
  <c r="U514" i="7" s="1"/>
  <c r="K513" i="7"/>
  <c r="J513" i="7"/>
  <c r="I513" i="7"/>
  <c r="I510" i="7"/>
  <c r="K510" i="7" s="1"/>
  <c r="K509" i="7"/>
  <c r="I508" i="7"/>
  <c r="K508" i="7" s="1"/>
  <c r="I507" i="7"/>
  <c r="K507" i="7" s="1"/>
  <c r="I506" i="7"/>
  <c r="K506" i="7" s="1"/>
  <c r="I505" i="7"/>
  <c r="I504" i="7"/>
  <c r="I493" i="7" s="1"/>
  <c r="K493" i="7" s="1"/>
  <c r="U502" i="7"/>
  <c r="T502" i="7"/>
  <c r="P502" i="7"/>
  <c r="O502" i="7"/>
  <c r="U501" i="7"/>
  <c r="T501" i="7"/>
  <c r="P501" i="7"/>
  <c r="O501" i="7"/>
  <c r="U500" i="7"/>
  <c r="T500" i="7"/>
  <c r="S500" i="7"/>
  <c r="R500" i="7"/>
  <c r="Q500" i="7"/>
  <c r="P500" i="7"/>
  <c r="O500" i="7"/>
  <c r="N500" i="7"/>
  <c r="M500" i="7"/>
  <c r="L500" i="7"/>
  <c r="S499" i="7"/>
  <c r="R499" i="7"/>
  <c r="U499" i="7" s="1"/>
  <c r="Q499" i="7"/>
  <c r="T499" i="7" s="1"/>
  <c r="P499" i="7"/>
  <c r="O499" i="7"/>
  <c r="U498" i="7"/>
  <c r="T498" i="7"/>
  <c r="P498" i="7"/>
  <c r="O498" i="7"/>
  <c r="O497" i="7"/>
  <c r="N497" i="7"/>
  <c r="M497" i="7"/>
  <c r="P497" i="7" s="1"/>
  <c r="L497" i="7"/>
  <c r="N496" i="7"/>
  <c r="M496" i="7"/>
  <c r="P496" i="7" s="1"/>
  <c r="L496" i="7"/>
  <c r="U495" i="7"/>
  <c r="S495" i="7"/>
  <c r="R495" i="7"/>
  <c r="Q495" i="7"/>
  <c r="P495" i="7"/>
  <c r="O495" i="7"/>
  <c r="N495" i="7"/>
  <c r="M495" i="7"/>
  <c r="L495" i="7"/>
  <c r="N494" i="7"/>
  <c r="M494" i="7"/>
  <c r="P494" i="7" s="1"/>
  <c r="K486" i="7"/>
  <c r="J486" i="7"/>
  <c r="I486" i="7"/>
  <c r="K485" i="7"/>
  <c r="J485" i="7"/>
  <c r="I485" i="7"/>
  <c r="J484" i="7"/>
  <c r="J483" i="7"/>
  <c r="K478" i="7"/>
  <c r="J478" i="7"/>
  <c r="K477" i="7"/>
  <c r="J477" i="7"/>
  <c r="K476" i="7"/>
  <c r="J476" i="7"/>
  <c r="J469" i="7"/>
  <c r="J459" i="7" s="1"/>
  <c r="J468" i="7"/>
  <c r="J461" i="7"/>
  <c r="J460" i="7"/>
  <c r="I459" i="7"/>
  <c r="K459" i="7" s="1"/>
  <c r="I458" i="7"/>
  <c r="I457" i="7" s="1"/>
  <c r="K457" i="7" s="1"/>
  <c r="J448" i="7"/>
  <c r="J442" i="7" s="1"/>
  <c r="J447" i="7"/>
  <c r="I442" i="7"/>
  <c r="K442" i="7" s="1"/>
  <c r="J441" i="7"/>
  <c r="J424" i="7" s="1"/>
  <c r="J413" i="7" s="1"/>
  <c r="I441" i="7"/>
  <c r="I424" i="7" s="1"/>
  <c r="J434" i="7"/>
  <c r="I434" i="7"/>
  <c r="K434" i="7" s="1"/>
  <c r="J433" i="7"/>
  <c r="I433" i="7"/>
  <c r="K433" i="7" s="1"/>
  <c r="J426" i="7"/>
  <c r="I426" i="7"/>
  <c r="K426" i="7" s="1"/>
  <c r="J425" i="7"/>
  <c r="I425" i="7"/>
  <c r="K425" i="7" s="1"/>
  <c r="U422" i="7"/>
  <c r="T422" i="7"/>
  <c r="P422" i="7"/>
  <c r="O422" i="7"/>
  <c r="U421" i="7"/>
  <c r="T421" i="7"/>
  <c r="P421" i="7"/>
  <c r="O421" i="7"/>
  <c r="S420" i="7"/>
  <c r="R420" i="7"/>
  <c r="U420" i="7" s="1"/>
  <c r="Q420" i="7"/>
  <c r="T420" i="7" s="1"/>
  <c r="P420" i="7"/>
  <c r="N420" i="7"/>
  <c r="M420" i="7"/>
  <c r="L420" i="7"/>
  <c r="O420" i="7" s="1"/>
  <c r="S419" i="7"/>
  <c r="S416" i="7" s="1"/>
  <c r="S414" i="7" s="1"/>
  <c r="R419" i="7"/>
  <c r="Q419" i="7"/>
  <c r="Q416" i="7" s="1"/>
  <c r="T416" i="7" s="1"/>
  <c r="P419" i="7"/>
  <c r="O419" i="7"/>
  <c r="U418" i="7"/>
  <c r="T418" i="7"/>
  <c r="P418" i="7"/>
  <c r="O418" i="7"/>
  <c r="P417" i="7"/>
  <c r="O417" i="7"/>
  <c r="N417" i="7"/>
  <c r="M417" i="7"/>
  <c r="L417" i="7"/>
  <c r="O416" i="7"/>
  <c r="N416" i="7"/>
  <c r="M416" i="7"/>
  <c r="P416" i="7" s="1"/>
  <c r="L416" i="7"/>
  <c r="S415" i="7"/>
  <c r="R415" i="7"/>
  <c r="Q415" i="7"/>
  <c r="P415" i="7"/>
  <c r="N415" i="7"/>
  <c r="M415" i="7"/>
  <c r="L415" i="7"/>
  <c r="L414" i="7" s="1"/>
  <c r="O414" i="7" s="1"/>
  <c r="N414" i="7"/>
  <c r="M414" i="7"/>
  <c r="P414" i="7" s="1"/>
  <c r="U401" i="7"/>
  <c r="T401" i="7"/>
  <c r="P401" i="7"/>
  <c r="O401" i="7"/>
  <c r="U400" i="7"/>
  <c r="T400" i="7"/>
  <c r="P400" i="7"/>
  <c r="O400" i="7"/>
  <c r="T399" i="7"/>
  <c r="S399" i="7"/>
  <c r="R399" i="7"/>
  <c r="U399" i="7" s="1"/>
  <c r="Q399" i="7"/>
  <c r="P399" i="7"/>
  <c r="N399" i="7"/>
  <c r="M399" i="7"/>
  <c r="L399" i="7"/>
  <c r="O399" i="7" s="1"/>
  <c r="U398" i="7"/>
  <c r="T398" i="7"/>
  <c r="P398" i="7"/>
  <c r="O398" i="7"/>
  <c r="U397" i="7"/>
  <c r="T397" i="7"/>
  <c r="P397" i="7"/>
  <c r="O397" i="7"/>
  <c r="S396" i="7"/>
  <c r="R396" i="7"/>
  <c r="U396" i="7" s="1"/>
  <c r="Q396" i="7"/>
  <c r="T396" i="7" s="1"/>
  <c r="N396" i="7"/>
  <c r="M396" i="7"/>
  <c r="P396" i="7" s="1"/>
  <c r="L396" i="7"/>
  <c r="O396" i="7" s="1"/>
  <c r="U395" i="7"/>
  <c r="S395" i="7"/>
  <c r="R395" i="7"/>
  <c r="Q395" i="7"/>
  <c r="T395" i="7" s="1"/>
  <c r="P395" i="7"/>
  <c r="O395" i="7"/>
  <c r="N395" i="7"/>
  <c r="M395" i="7"/>
  <c r="L395" i="7"/>
  <c r="U394" i="7"/>
  <c r="T394" i="7"/>
  <c r="S394" i="7"/>
  <c r="S393" i="7" s="1"/>
  <c r="R394" i="7"/>
  <c r="Q394" i="7"/>
  <c r="O394" i="7"/>
  <c r="N394" i="7"/>
  <c r="M394" i="7"/>
  <c r="L394" i="7"/>
  <c r="L393" i="7" s="1"/>
  <c r="O393" i="7" s="1"/>
  <c r="R393" i="7"/>
  <c r="U393" i="7" s="1"/>
  <c r="Q393" i="7"/>
  <c r="T393" i="7" s="1"/>
  <c r="N393" i="7"/>
  <c r="K392" i="7"/>
  <c r="J392" i="7"/>
  <c r="I392" i="7"/>
  <c r="J389" i="7"/>
  <c r="I389" i="7"/>
  <c r="K389" i="7" s="1"/>
  <c r="K388" i="7"/>
  <c r="J388" i="7"/>
  <c r="J387" i="7"/>
  <c r="I387" i="7"/>
  <c r="K386" i="7"/>
  <c r="J386" i="7"/>
  <c r="U384" i="7"/>
  <c r="T384" i="7"/>
  <c r="P384" i="7"/>
  <c r="O384" i="7"/>
  <c r="U383" i="7"/>
  <c r="T383" i="7"/>
  <c r="P383" i="7"/>
  <c r="O383" i="7"/>
  <c r="U382" i="7"/>
  <c r="S382" i="7"/>
  <c r="R382" i="7"/>
  <c r="Q382" i="7"/>
  <c r="T382" i="7" s="1"/>
  <c r="O382" i="7"/>
  <c r="N382" i="7"/>
  <c r="M382" i="7"/>
  <c r="P382" i="7" s="1"/>
  <c r="L382" i="7"/>
  <c r="S381" i="7"/>
  <c r="S379" i="7" s="1"/>
  <c r="R381" i="7"/>
  <c r="R378" i="7" s="1"/>
  <c r="Q381" i="7"/>
  <c r="Q379" i="7" s="1"/>
  <c r="P381" i="7"/>
  <c r="O381" i="7"/>
  <c r="U380" i="7"/>
  <c r="T380" i="7"/>
  <c r="P380" i="7"/>
  <c r="O380" i="7"/>
  <c r="P379" i="7"/>
  <c r="O379" i="7"/>
  <c r="N379" i="7"/>
  <c r="M379" i="7"/>
  <c r="L379" i="7"/>
  <c r="N378" i="7"/>
  <c r="M378" i="7"/>
  <c r="P378" i="7" s="1"/>
  <c r="L378" i="7"/>
  <c r="T377" i="7"/>
  <c r="S377" i="7"/>
  <c r="R377" i="7"/>
  <c r="U377" i="7" s="1"/>
  <c r="Q377" i="7"/>
  <c r="N377" i="7"/>
  <c r="N376" i="7" s="1"/>
  <c r="M377" i="7"/>
  <c r="M376" i="7" s="1"/>
  <c r="L377" i="7"/>
  <c r="O377" i="7" s="1"/>
  <c r="P376" i="7"/>
  <c r="D374" i="7"/>
  <c r="K373" i="7"/>
  <c r="J373" i="7"/>
  <c r="J372" i="7"/>
  <c r="I372" i="7"/>
  <c r="I366" i="7" s="1"/>
  <c r="K371" i="7"/>
  <c r="J371" i="7"/>
  <c r="J370" i="7"/>
  <c r="I370" i="7"/>
  <c r="J369" i="7"/>
  <c r="I369" i="7"/>
  <c r="K368" i="7"/>
  <c r="J368" i="7"/>
  <c r="U365" i="7"/>
  <c r="T365" i="7"/>
  <c r="N365" i="7"/>
  <c r="N363" i="7" s="1"/>
  <c r="M365" i="7"/>
  <c r="P365" i="7" s="1"/>
  <c r="L365" i="7"/>
  <c r="O365" i="7" s="1"/>
  <c r="U364" i="7"/>
  <c r="T364" i="7"/>
  <c r="P364" i="7"/>
  <c r="O364" i="7"/>
  <c r="S363" i="7"/>
  <c r="R363" i="7"/>
  <c r="U363" i="7" s="1"/>
  <c r="Q363" i="7"/>
  <c r="T363" i="7" s="1"/>
  <c r="U362" i="7"/>
  <c r="T362" i="7"/>
  <c r="N362" i="7"/>
  <c r="N360" i="7" s="1"/>
  <c r="M362" i="7"/>
  <c r="M360" i="7" s="1"/>
  <c r="L362" i="7"/>
  <c r="U361" i="7"/>
  <c r="T361" i="7"/>
  <c r="P361" i="7"/>
  <c r="O361" i="7"/>
  <c r="T360" i="7"/>
  <c r="S360" i="7"/>
  <c r="R360" i="7"/>
  <c r="U360" i="7" s="1"/>
  <c r="Q360" i="7"/>
  <c r="T359" i="7"/>
  <c r="S359" i="7"/>
  <c r="R359" i="7"/>
  <c r="U359" i="7" s="1"/>
  <c r="Q359" i="7"/>
  <c r="T358" i="7"/>
  <c r="S358" i="7"/>
  <c r="S357" i="7" s="1"/>
  <c r="R358" i="7"/>
  <c r="U358" i="7" s="1"/>
  <c r="Q358" i="7"/>
  <c r="N358" i="7"/>
  <c r="M358" i="7"/>
  <c r="L358" i="7"/>
  <c r="O358" i="7" s="1"/>
  <c r="Q357" i="7"/>
  <c r="T357" i="7" s="1"/>
  <c r="D355" i="7"/>
  <c r="J354" i="7"/>
  <c r="J353" i="7"/>
  <c r="D351" i="7"/>
  <c r="J350" i="7"/>
  <c r="J349" i="7"/>
  <c r="J348" i="7"/>
  <c r="J347" i="7"/>
  <c r="I347" i="7"/>
  <c r="J345" i="7"/>
  <c r="I345" i="7"/>
  <c r="I333" i="7" s="1"/>
  <c r="U342" i="7"/>
  <c r="T342" i="7"/>
  <c r="N342" i="7"/>
  <c r="M342" i="7"/>
  <c r="M340" i="7" s="1"/>
  <c r="P340" i="7" s="1"/>
  <c r="L342" i="7"/>
  <c r="O342" i="7" s="1"/>
  <c r="U341" i="7"/>
  <c r="T341" i="7"/>
  <c r="P341" i="7"/>
  <c r="O341" i="7"/>
  <c r="U340" i="7"/>
  <c r="S340" i="7"/>
  <c r="R340" i="7"/>
  <c r="Q340" i="7"/>
  <c r="T340" i="7" s="1"/>
  <c r="U339" i="7"/>
  <c r="T339" i="7"/>
  <c r="N339" i="7"/>
  <c r="M339" i="7"/>
  <c r="M337" i="7" s="1"/>
  <c r="L339" i="7"/>
  <c r="U338" i="7"/>
  <c r="T338" i="7"/>
  <c r="P338" i="7"/>
  <c r="O338" i="7"/>
  <c r="U337" i="7"/>
  <c r="T337" i="7"/>
  <c r="S337" i="7"/>
  <c r="R337" i="7"/>
  <c r="Q337" i="7"/>
  <c r="N337" i="7"/>
  <c r="S336" i="7"/>
  <c r="R336" i="7"/>
  <c r="U336" i="7" s="1"/>
  <c r="Q336" i="7"/>
  <c r="T336" i="7" s="1"/>
  <c r="U335" i="7"/>
  <c r="T335" i="7"/>
  <c r="S335" i="7"/>
  <c r="R335" i="7"/>
  <c r="Q335" i="7"/>
  <c r="Q334" i="7" s="1"/>
  <c r="T334" i="7" s="1"/>
  <c r="P335" i="7"/>
  <c r="O335" i="7"/>
  <c r="N335" i="7"/>
  <c r="M335" i="7"/>
  <c r="L335" i="7"/>
  <c r="S334" i="7"/>
  <c r="I331" i="7"/>
  <c r="U329" i="7"/>
  <c r="T329" i="7"/>
  <c r="N329" i="7"/>
  <c r="N327" i="7" s="1"/>
  <c r="M329" i="7"/>
  <c r="L329" i="7"/>
  <c r="L327" i="7" s="1"/>
  <c r="O327" i="7" s="1"/>
  <c r="U328" i="7"/>
  <c r="T328" i="7"/>
  <c r="P328" i="7"/>
  <c r="O328" i="7"/>
  <c r="U327" i="7"/>
  <c r="T327" i="7"/>
  <c r="S327" i="7"/>
  <c r="R327" i="7"/>
  <c r="Q327" i="7"/>
  <c r="U326" i="7"/>
  <c r="T326" i="7"/>
  <c r="N326" i="7"/>
  <c r="N324" i="7" s="1"/>
  <c r="M326" i="7"/>
  <c r="P326" i="7" s="1"/>
  <c r="L326" i="7"/>
  <c r="O326" i="7" s="1"/>
  <c r="U325" i="7"/>
  <c r="T325" i="7"/>
  <c r="P325" i="7"/>
  <c r="O325" i="7"/>
  <c r="U324" i="7"/>
  <c r="T324" i="7"/>
  <c r="S324" i="7"/>
  <c r="R324" i="7"/>
  <c r="Q324" i="7"/>
  <c r="S323" i="7"/>
  <c r="S321" i="7" s="1"/>
  <c r="R323" i="7"/>
  <c r="U323" i="7" s="1"/>
  <c r="Q323" i="7"/>
  <c r="T323" i="7" s="1"/>
  <c r="U322" i="7"/>
  <c r="S322" i="7"/>
  <c r="R322" i="7"/>
  <c r="Q322" i="7"/>
  <c r="P322" i="7"/>
  <c r="O322" i="7"/>
  <c r="N322" i="7"/>
  <c r="M322" i="7"/>
  <c r="L322" i="7"/>
  <c r="U321" i="7"/>
  <c r="R321" i="7"/>
  <c r="J320" i="7"/>
  <c r="I315" i="7"/>
  <c r="K315" i="7" s="1"/>
  <c r="U312" i="7"/>
  <c r="T312" i="7"/>
  <c r="N312" i="7"/>
  <c r="M312" i="7"/>
  <c r="M310" i="7" s="1"/>
  <c r="P310" i="7" s="1"/>
  <c r="L312" i="7"/>
  <c r="U311" i="7"/>
  <c r="T311" i="7"/>
  <c r="P311" i="7"/>
  <c r="O311" i="7"/>
  <c r="U310" i="7"/>
  <c r="T310" i="7"/>
  <c r="S310" i="7"/>
  <c r="R310" i="7"/>
  <c r="Q310" i="7"/>
  <c r="N310" i="7"/>
  <c r="S309" i="7"/>
  <c r="S307" i="7" s="1"/>
  <c r="R309" i="7"/>
  <c r="R307" i="7" s="1"/>
  <c r="Q309" i="7"/>
  <c r="Q307" i="7" s="1"/>
  <c r="N309" i="7"/>
  <c r="M309" i="7"/>
  <c r="M307" i="7" s="1"/>
  <c r="P307" i="7" s="1"/>
  <c r="L309" i="7"/>
  <c r="U308" i="7"/>
  <c r="T308" i="7"/>
  <c r="P308" i="7"/>
  <c r="O308" i="7"/>
  <c r="S305" i="7"/>
  <c r="R305" i="7"/>
  <c r="U305" i="7" s="1"/>
  <c r="Q305" i="7"/>
  <c r="T305" i="7" s="1"/>
  <c r="P305" i="7"/>
  <c r="N305" i="7"/>
  <c r="M305" i="7"/>
  <c r="L305" i="7"/>
  <c r="O305" i="7" s="1"/>
  <c r="J303" i="7"/>
  <c r="I297" i="7"/>
  <c r="K297" i="7" s="1"/>
  <c r="I296" i="7"/>
  <c r="K296" i="7" s="1"/>
  <c r="J294" i="7"/>
  <c r="J281" i="7" s="1"/>
  <c r="I294" i="7"/>
  <c r="I293" i="7"/>
  <c r="K293" i="7" s="1"/>
  <c r="U291" i="7"/>
  <c r="T291" i="7"/>
  <c r="N291" i="7"/>
  <c r="N289" i="7" s="1"/>
  <c r="M291" i="7"/>
  <c r="P291" i="7" s="1"/>
  <c r="L291" i="7"/>
  <c r="U290" i="7"/>
  <c r="T290" i="7"/>
  <c r="P290" i="7"/>
  <c r="O290" i="7"/>
  <c r="S289" i="7"/>
  <c r="R289" i="7"/>
  <c r="U289" i="7" s="1"/>
  <c r="Q289" i="7"/>
  <c r="T289" i="7" s="1"/>
  <c r="U288" i="7"/>
  <c r="T288" i="7"/>
  <c r="N288" i="7"/>
  <c r="N285" i="7" s="1"/>
  <c r="N283" i="7" s="1"/>
  <c r="M288" i="7"/>
  <c r="M286" i="7" s="1"/>
  <c r="P286" i="7" s="1"/>
  <c r="L288" i="7"/>
  <c r="L286" i="7" s="1"/>
  <c r="O286" i="7" s="1"/>
  <c r="U287" i="7"/>
  <c r="T287" i="7"/>
  <c r="P287" i="7"/>
  <c r="O287" i="7"/>
  <c r="U286" i="7"/>
  <c r="S286" i="7"/>
  <c r="R286" i="7"/>
  <c r="Q286" i="7"/>
  <c r="T286" i="7" s="1"/>
  <c r="T285" i="7"/>
  <c r="S285" i="7"/>
  <c r="R285" i="7"/>
  <c r="U285" i="7" s="1"/>
  <c r="Q285" i="7"/>
  <c r="S284" i="7"/>
  <c r="S283" i="7" s="1"/>
  <c r="R284" i="7"/>
  <c r="U284" i="7" s="1"/>
  <c r="Q284" i="7"/>
  <c r="T284" i="7" s="1"/>
  <c r="P284" i="7"/>
  <c r="N284" i="7"/>
  <c r="M284" i="7"/>
  <c r="L284" i="7"/>
  <c r="O284" i="7" s="1"/>
  <c r="Q283" i="7"/>
  <c r="T283" i="7" s="1"/>
  <c r="J282" i="7"/>
  <c r="I277" i="7"/>
  <c r="K277" i="7" s="1"/>
  <c r="U275" i="7"/>
  <c r="T275" i="7"/>
  <c r="N275" i="7"/>
  <c r="N273" i="7" s="1"/>
  <c r="M275" i="7"/>
  <c r="P275" i="7" s="1"/>
  <c r="L275" i="7"/>
  <c r="L273" i="7" s="1"/>
  <c r="O273" i="7" s="1"/>
  <c r="U274" i="7"/>
  <c r="T274" i="7"/>
  <c r="P274" i="7"/>
  <c r="O274" i="7"/>
  <c r="U273" i="7"/>
  <c r="T273" i="7"/>
  <c r="S273" i="7"/>
  <c r="R273" i="7"/>
  <c r="Q273" i="7"/>
  <c r="S272" i="7"/>
  <c r="R272" i="7"/>
  <c r="R270" i="7" s="1"/>
  <c r="Q272" i="7"/>
  <c r="Q270" i="7" s="1"/>
  <c r="N272" i="7"/>
  <c r="M272" i="7"/>
  <c r="M270" i="7" s="1"/>
  <c r="L272" i="7"/>
  <c r="L270" i="7" s="1"/>
  <c r="O270" i="7" s="1"/>
  <c r="U271" i="7"/>
  <c r="T271" i="7"/>
  <c r="P271" i="7"/>
  <c r="O271" i="7"/>
  <c r="S268" i="7"/>
  <c r="R268" i="7"/>
  <c r="Q268" i="7"/>
  <c r="T268" i="7" s="1"/>
  <c r="P268" i="7"/>
  <c r="N268" i="7"/>
  <c r="M268" i="7"/>
  <c r="L268" i="7"/>
  <c r="J266" i="7"/>
  <c r="K264" i="7"/>
  <c r="K263" i="7"/>
  <c r="I261" i="7"/>
  <c r="K261" i="7" s="1"/>
  <c r="L259" i="7"/>
  <c r="L258" i="7"/>
  <c r="L257" i="7"/>
  <c r="L256" i="7"/>
  <c r="P255" i="7"/>
  <c r="N255" i="7"/>
  <c r="J254" i="7"/>
  <c r="K253" i="7"/>
  <c r="K252" i="7"/>
  <c r="I250" i="7"/>
  <c r="L248" i="7"/>
  <c r="L247" i="7"/>
  <c r="L246" i="7"/>
  <c r="L245" i="7"/>
  <c r="P244" i="7"/>
  <c r="N244" i="7"/>
  <c r="N233" i="7" s="1"/>
  <c r="J243" i="7"/>
  <c r="K242" i="7"/>
  <c r="J242" i="7"/>
  <c r="I242" i="7"/>
  <c r="J241" i="7"/>
  <c r="I241" i="7"/>
  <c r="K241" i="7" s="1"/>
  <c r="J239" i="7"/>
  <c r="N237" i="7"/>
  <c r="N236" i="7"/>
  <c r="N235" i="7"/>
  <c r="N234" i="7"/>
  <c r="I231" i="7"/>
  <c r="K231" i="7" s="1"/>
  <c r="I230" i="7"/>
  <c r="K230" i="7" s="1"/>
  <c r="I229" i="7"/>
  <c r="K229" i="7" s="1"/>
  <c r="L226" i="7"/>
  <c r="L225" i="7"/>
  <c r="L224" i="7"/>
  <c r="P223" i="7"/>
  <c r="N223" i="7"/>
  <c r="J222" i="7"/>
  <c r="I221" i="7"/>
  <c r="I214" i="7" s="1"/>
  <c r="K214" i="7" s="1"/>
  <c r="I220" i="7"/>
  <c r="K220" i="7" s="1"/>
  <c r="L218" i="7"/>
  <c r="L217" i="7"/>
  <c r="L216" i="7"/>
  <c r="P215" i="7"/>
  <c r="N215" i="7"/>
  <c r="J214" i="7"/>
  <c r="I213" i="7"/>
  <c r="K213" i="7" s="1"/>
  <c r="I212" i="7"/>
  <c r="K212" i="7" s="1"/>
  <c r="I210" i="7"/>
  <c r="K210" i="7" s="1"/>
  <c r="L208" i="7"/>
  <c r="L207" i="7"/>
  <c r="L206" i="7"/>
  <c r="L205" i="7"/>
  <c r="P204" i="7"/>
  <c r="N204" i="7"/>
  <c r="J203" i="7"/>
  <c r="J200" i="7"/>
  <c r="I199" i="7"/>
  <c r="I196" i="7" s="1"/>
  <c r="P197" i="7"/>
  <c r="L197" i="7"/>
  <c r="O197" i="7" s="1"/>
  <c r="J196" i="7"/>
  <c r="U195" i="7"/>
  <c r="T195" i="7"/>
  <c r="N195" i="7"/>
  <c r="N193" i="7" s="1"/>
  <c r="M195" i="7"/>
  <c r="P195" i="7" s="1"/>
  <c r="L195" i="7"/>
  <c r="L193" i="7" s="1"/>
  <c r="O193" i="7" s="1"/>
  <c r="U194" i="7"/>
  <c r="T194" i="7"/>
  <c r="P194" i="7"/>
  <c r="O194" i="7"/>
  <c r="U193" i="7"/>
  <c r="T193" i="7"/>
  <c r="S193" i="7"/>
  <c r="R193" i="7"/>
  <c r="Q193" i="7"/>
  <c r="S192" i="7"/>
  <c r="S190" i="7" s="1"/>
  <c r="R192" i="7"/>
  <c r="R190" i="7" s="1"/>
  <c r="Q192" i="7"/>
  <c r="N192" i="7"/>
  <c r="N190" i="7" s="1"/>
  <c r="M192" i="7"/>
  <c r="M190" i="7" s="1"/>
  <c r="L192" i="7"/>
  <c r="L190" i="7" s="1"/>
  <c r="U191" i="7"/>
  <c r="T191" i="7"/>
  <c r="P191" i="7"/>
  <c r="O191" i="7"/>
  <c r="U188" i="7"/>
  <c r="S188" i="7"/>
  <c r="R188" i="7"/>
  <c r="Q188" i="7"/>
  <c r="T188" i="7" s="1"/>
  <c r="P188" i="7"/>
  <c r="N188" i="7"/>
  <c r="M188" i="7"/>
  <c r="L188" i="7"/>
  <c r="K185" i="7"/>
  <c r="I184" i="7"/>
  <c r="K184" i="7" s="1"/>
  <c r="U182" i="7"/>
  <c r="T182" i="7"/>
  <c r="N182" i="7"/>
  <c r="N180" i="7" s="1"/>
  <c r="M182" i="7"/>
  <c r="M180" i="7" s="1"/>
  <c r="P180" i="7" s="1"/>
  <c r="L182" i="7"/>
  <c r="O182" i="7" s="1"/>
  <c r="U181" i="7"/>
  <c r="T181" i="7"/>
  <c r="P181" i="7"/>
  <c r="O181" i="7"/>
  <c r="S180" i="7"/>
  <c r="R180" i="7"/>
  <c r="U180" i="7" s="1"/>
  <c r="Q180" i="7"/>
  <c r="T180" i="7" s="1"/>
  <c r="S179" i="7"/>
  <c r="S176" i="7" s="1"/>
  <c r="S174" i="7" s="1"/>
  <c r="R179" i="7"/>
  <c r="U179" i="7" s="1"/>
  <c r="Q179" i="7"/>
  <c r="Q177" i="7" s="1"/>
  <c r="T177" i="7" s="1"/>
  <c r="N179" i="7"/>
  <c r="M179" i="7"/>
  <c r="L179" i="7"/>
  <c r="L177" i="7" s="1"/>
  <c r="U178" i="7"/>
  <c r="T178" i="7"/>
  <c r="P178" i="7"/>
  <c r="O178" i="7"/>
  <c r="T175" i="7"/>
  <c r="S175" i="7"/>
  <c r="R175" i="7"/>
  <c r="Q175" i="7"/>
  <c r="N175" i="7"/>
  <c r="M175" i="7"/>
  <c r="P175" i="7" s="1"/>
  <c r="L175" i="7"/>
  <c r="J173" i="7"/>
  <c r="I170" i="7"/>
  <c r="I169" i="7"/>
  <c r="K169" i="7" s="1"/>
  <c r="I168" i="7"/>
  <c r="K168" i="7" s="1"/>
  <c r="U166" i="7"/>
  <c r="T166" i="7"/>
  <c r="N166" i="7"/>
  <c r="N164" i="7" s="1"/>
  <c r="M166" i="7"/>
  <c r="M164" i="7" s="1"/>
  <c r="P164" i="7" s="1"/>
  <c r="L166" i="7"/>
  <c r="O166" i="7" s="1"/>
  <c r="U165" i="7"/>
  <c r="T165" i="7"/>
  <c r="P165" i="7"/>
  <c r="O165" i="7"/>
  <c r="S164" i="7"/>
  <c r="R164" i="7"/>
  <c r="U164" i="7" s="1"/>
  <c r="Q164" i="7"/>
  <c r="T164" i="7" s="1"/>
  <c r="S163" i="7"/>
  <c r="S161" i="7" s="1"/>
  <c r="R163" i="7"/>
  <c r="U163" i="7" s="1"/>
  <c r="Q163" i="7"/>
  <c r="N163" i="7"/>
  <c r="N161" i="7" s="1"/>
  <c r="M163" i="7"/>
  <c r="P163" i="7" s="1"/>
  <c r="L163" i="7"/>
  <c r="O163" i="7" s="1"/>
  <c r="U162" i="7"/>
  <c r="T162" i="7"/>
  <c r="P162" i="7"/>
  <c r="O162" i="7"/>
  <c r="T159" i="7"/>
  <c r="S159" i="7"/>
  <c r="R159" i="7"/>
  <c r="Q159" i="7"/>
  <c r="P159" i="7"/>
  <c r="N159" i="7"/>
  <c r="M159" i="7"/>
  <c r="L159" i="7"/>
  <c r="J157" i="7"/>
  <c r="I155" i="7"/>
  <c r="I154" i="7"/>
  <c r="K154" i="7" s="1"/>
  <c r="I153" i="7"/>
  <c r="K153" i="7" s="1"/>
  <c r="I152" i="7"/>
  <c r="K152" i="7" s="1"/>
  <c r="I151" i="7"/>
  <c r="K151" i="7" s="1"/>
  <c r="U148" i="7"/>
  <c r="T148" i="7"/>
  <c r="N148" i="7"/>
  <c r="N146" i="7" s="1"/>
  <c r="M148" i="7"/>
  <c r="M146" i="7" s="1"/>
  <c r="P146" i="7" s="1"/>
  <c r="L148" i="7"/>
  <c r="L146" i="7" s="1"/>
  <c r="O146" i="7" s="1"/>
  <c r="U147" i="7"/>
  <c r="T147" i="7"/>
  <c r="P147" i="7"/>
  <c r="O147" i="7"/>
  <c r="S146" i="7"/>
  <c r="R146" i="7"/>
  <c r="U146" i="7" s="1"/>
  <c r="Q146" i="7"/>
  <c r="T146" i="7" s="1"/>
  <c r="S145" i="7"/>
  <c r="S143" i="7" s="1"/>
  <c r="R145" i="7"/>
  <c r="R142" i="7" s="1"/>
  <c r="U142" i="7" s="1"/>
  <c r="Q145" i="7"/>
  <c r="T145" i="7" s="1"/>
  <c r="N145" i="7"/>
  <c r="N143" i="7" s="1"/>
  <c r="M145" i="7"/>
  <c r="L145" i="7"/>
  <c r="L143" i="7" s="1"/>
  <c r="O143" i="7" s="1"/>
  <c r="U144" i="7"/>
  <c r="T144" i="7"/>
  <c r="P144" i="7"/>
  <c r="O144" i="7"/>
  <c r="S141" i="7"/>
  <c r="R141" i="7"/>
  <c r="U141" i="7" s="1"/>
  <c r="Q141" i="7"/>
  <c r="T141" i="7" s="1"/>
  <c r="N141" i="7"/>
  <c r="M141" i="7"/>
  <c r="L141" i="7"/>
  <c r="O141" i="7" s="1"/>
  <c r="J139" i="7"/>
  <c r="J138" i="7"/>
  <c r="J137" i="7"/>
  <c r="I131" i="7"/>
  <c r="K131" i="7" s="1"/>
  <c r="I130" i="7"/>
  <c r="K130" i="7" s="1"/>
  <c r="I129" i="7"/>
  <c r="K129" i="7" s="1"/>
  <c r="I128" i="7"/>
  <c r="K128" i="7" s="1"/>
  <c r="U126" i="7"/>
  <c r="T126" i="7"/>
  <c r="N126" i="7"/>
  <c r="N124" i="7" s="1"/>
  <c r="M126" i="7"/>
  <c r="P126" i="7" s="1"/>
  <c r="L126" i="7"/>
  <c r="O126" i="7" s="1"/>
  <c r="U125" i="7"/>
  <c r="T125" i="7"/>
  <c r="P125" i="7"/>
  <c r="O125" i="7"/>
  <c r="T124" i="7"/>
  <c r="S124" i="7"/>
  <c r="R124" i="7"/>
  <c r="U124" i="7" s="1"/>
  <c r="Q124" i="7"/>
  <c r="S123" i="7"/>
  <c r="S121" i="7" s="1"/>
  <c r="R123" i="7"/>
  <c r="R121" i="7" s="1"/>
  <c r="Q123" i="7"/>
  <c r="N123" i="7"/>
  <c r="N121" i="7" s="1"/>
  <c r="M123" i="7"/>
  <c r="P123" i="7" s="1"/>
  <c r="L123" i="7"/>
  <c r="O123" i="7" s="1"/>
  <c r="U122" i="7"/>
  <c r="T122" i="7"/>
  <c r="P122" i="7"/>
  <c r="O122" i="7"/>
  <c r="U119" i="7"/>
  <c r="T119" i="7"/>
  <c r="S119" i="7"/>
  <c r="R119" i="7"/>
  <c r="Q119" i="7"/>
  <c r="P119" i="7"/>
  <c r="O119" i="7"/>
  <c r="N119" i="7"/>
  <c r="M119" i="7"/>
  <c r="L119" i="7"/>
  <c r="J117" i="7"/>
  <c r="I115" i="7"/>
  <c r="K115" i="7" s="1"/>
  <c r="I110" i="7"/>
  <c r="K110" i="7" s="1"/>
  <c r="I109" i="7"/>
  <c r="K109" i="7" s="1"/>
  <c r="U103" i="7"/>
  <c r="T103" i="7"/>
  <c r="N103" i="7"/>
  <c r="N101" i="7" s="1"/>
  <c r="M103" i="7"/>
  <c r="P103" i="7" s="1"/>
  <c r="L103" i="7"/>
  <c r="O103" i="7" s="1"/>
  <c r="U102" i="7"/>
  <c r="T102" i="7"/>
  <c r="P102" i="7"/>
  <c r="O102" i="7"/>
  <c r="T101" i="7"/>
  <c r="S101" i="7"/>
  <c r="R101" i="7"/>
  <c r="U101" i="7" s="1"/>
  <c r="Q101" i="7"/>
  <c r="S100" i="7"/>
  <c r="S98" i="7" s="1"/>
  <c r="R100" i="7"/>
  <c r="R97" i="7" s="1"/>
  <c r="Q100" i="7"/>
  <c r="Q97" i="7" s="1"/>
  <c r="N100" i="7"/>
  <c r="M100" i="7"/>
  <c r="M98" i="7" s="1"/>
  <c r="P98" i="7" s="1"/>
  <c r="L100" i="7"/>
  <c r="L98" i="7" s="1"/>
  <c r="O98" i="7" s="1"/>
  <c r="U99" i="7"/>
  <c r="T99" i="7"/>
  <c r="P99" i="7"/>
  <c r="O99" i="7"/>
  <c r="U96" i="7"/>
  <c r="T96" i="7"/>
  <c r="S96" i="7"/>
  <c r="R96" i="7"/>
  <c r="Q96" i="7"/>
  <c r="P96" i="7"/>
  <c r="O96" i="7"/>
  <c r="N96" i="7"/>
  <c r="M96" i="7"/>
  <c r="L96" i="7"/>
  <c r="J94" i="7"/>
  <c r="J93" i="7"/>
  <c r="I91" i="7"/>
  <c r="K91" i="7" s="1"/>
  <c r="I90" i="7"/>
  <c r="K90" i="7" s="1"/>
  <c r="I89" i="7"/>
  <c r="K89" i="7" s="1"/>
  <c r="I88" i="7"/>
  <c r="K88" i="7" s="1"/>
  <c r="I87" i="7"/>
  <c r="I86" i="7"/>
  <c r="I85" i="7"/>
  <c r="K85" i="7" s="1"/>
  <c r="J84" i="7"/>
  <c r="J72" i="7" s="1"/>
  <c r="J83" i="7"/>
  <c r="U81" i="7"/>
  <c r="T81" i="7"/>
  <c r="N81" i="7"/>
  <c r="N79" i="7" s="1"/>
  <c r="M81" i="7"/>
  <c r="L81" i="7"/>
  <c r="O81" i="7" s="1"/>
  <c r="U80" i="7"/>
  <c r="T80" i="7"/>
  <c r="P80" i="7"/>
  <c r="O80" i="7"/>
  <c r="S79" i="7"/>
  <c r="R79" i="7"/>
  <c r="U79" i="7" s="1"/>
  <c r="Q79" i="7"/>
  <c r="T79" i="7" s="1"/>
  <c r="S78" i="7"/>
  <c r="S75" i="7" s="1"/>
  <c r="S73" i="7" s="1"/>
  <c r="R78" i="7"/>
  <c r="U78" i="7" s="1"/>
  <c r="Q78" i="7"/>
  <c r="Q75" i="7" s="1"/>
  <c r="N78" i="7"/>
  <c r="N76" i="7" s="1"/>
  <c r="M78" i="7"/>
  <c r="P78" i="7" s="1"/>
  <c r="L78" i="7"/>
  <c r="O78" i="7" s="1"/>
  <c r="U77" i="7"/>
  <c r="T77" i="7"/>
  <c r="P77" i="7"/>
  <c r="O77" i="7"/>
  <c r="U74" i="7"/>
  <c r="T74" i="7"/>
  <c r="S74" i="7"/>
  <c r="R74" i="7"/>
  <c r="Q74" i="7"/>
  <c r="O74" i="7"/>
  <c r="N74" i="7"/>
  <c r="M74" i="7"/>
  <c r="P74" i="7" s="1"/>
  <c r="L74" i="7"/>
  <c r="J71" i="7"/>
  <c r="U68" i="7"/>
  <c r="T68" i="7"/>
  <c r="N68" i="7"/>
  <c r="M68" i="7"/>
  <c r="L68" i="7"/>
  <c r="U67" i="7"/>
  <c r="T67" i="7"/>
  <c r="P67" i="7"/>
  <c r="O67" i="7"/>
  <c r="U66" i="7"/>
  <c r="T66" i="7"/>
  <c r="S66" i="7"/>
  <c r="R66" i="7"/>
  <c r="Q66" i="7"/>
  <c r="N66" i="7"/>
  <c r="U65" i="7"/>
  <c r="T65" i="7"/>
  <c r="N65" i="7"/>
  <c r="N63" i="7" s="1"/>
  <c r="M65" i="7"/>
  <c r="M63" i="7" s="1"/>
  <c r="L65" i="7"/>
  <c r="L63" i="7" s="1"/>
  <c r="U64" i="7"/>
  <c r="T64" i="7"/>
  <c r="P64" i="7"/>
  <c r="O64" i="7"/>
  <c r="S63" i="7"/>
  <c r="R63" i="7"/>
  <c r="U63" i="7" s="1"/>
  <c r="Q63" i="7"/>
  <c r="T63" i="7" s="1"/>
  <c r="U62" i="7"/>
  <c r="S62" i="7"/>
  <c r="R62" i="7"/>
  <c r="Q62" i="7"/>
  <c r="T62" i="7" s="1"/>
  <c r="U61" i="7"/>
  <c r="T61" i="7"/>
  <c r="S61" i="7"/>
  <c r="S60" i="7" s="1"/>
  <c r="R61" i="7"/>
  <c r="Q61" i="7"/>
  <c r="O61" i="7"/>
  <c r="N61" i="7"/>
  <c r="M61" i="7"/>
  <c r="P61" i="7" s="1"/>
  <c r="L61" i="7"/>
  <c r="R60" i="7"/>
  <c r="U60" i="7" s="1"/>
  <c r="Q60" i="7"/>
  <c r="T60" i="7" s="1"/>
  <c r="U53" i="7"/>
  <c r="T53" i="7"/>
  <c r="N53" i="7"/>
  <c r="N51" i="7" s="1"/>
  <c r="M53" i="7"/>
  <c r="L53" i="7"/>
  <c r="U52" i="7"/>
  <c r="T52" i="7"/>
  <c r="P52" i="7"/>
  <c r="O52" i="7"/>
  <c r="U51" i="7"/>
  <c r="T51" i="7"/>
  <c r="S51" i="7"/>
  <c r="R51" i="7"/>
  <c r="Q51" i="7"/>
  <c r="U50" i="7"/>
  <c r="T50" i="7"/>
  <c r="N50" i="7"/>
  <c r="N48" i="7" s="1"/>
  <c r="M50" i="7"/>
  <c r="L50" i="7"/>
  <c r="L48" i="7" s="1"/>
  <c r="U49" i="7"/>
  <c r="T49" i="7"/>
  <c r="P49" i="7"/>
  <c r="O49" i="7"/>
  <c r="S48" i="7"/>
  <c r="R48" i="7"/>
  <c r="U48" i="7" s="1"/>
  <c r="Q48" i="7"/>
  <c r="T48" i="7" s="1"/>
  <c r="U47" i="7"/>
  <c r="S47" i="7"/>
  <c r="R47" i="7"/>
  <c r="Q47" i="7"/>
  <c r="T47" i="7" s="1"/>
  <c r="U46" i="7"/>
  <c r="T46" i="7"/>
  <c r="S46" i="7"/>
  <c r="S45" i="7" s="1"/>
  <c r="R46" i="7"/>
  <c r="Q46" i="7"/>
  <c r="O46" i="7"/>
  <c r="N46" i="7"/>
  <c r="M46" i="7"/>
  <c r="P46" i="7" s="1"/>
  <c r="L46" i="7"/>
  <c r="R45" i="7"/>
  <c r="U45" i="7" s="1"/>
  <c r="Q45" i="7"/>
  <c r="T45" i="7" s="1"/>
  <c r="U27" i="7"/>
  <c r="T27" i="7"/>
  <c r="S27" i="7"/>
  <c r="R27" i="7"/>
  <c r="Q27" i="7"/>
  <c r="T26" i="7"/>
  <c r="S26" i="7"/>
  <c r="S25" i="7" s="1"/>
  <c r="R26" i="7"/>
  <c r="U26" i="7" s="1"/>
  <c r="Q26" i="7"/>
  <c r="N26" i="7"/>
  <c r="M26" i="7"/>
  <c r="L26" i="7"/>
  <c r="O26" i="7" s="1"/>
  <c r="Q25" i="7"/>
  <c r="T25" i="7" s="1"/>
  <c r="T23" i="7"/>
  <c r="S23" i="7"/>
  <c r="R23" i="7"/>
  <c r="U23" i="7" s="1"/>
  <c r="Q23" i="7"/>
  <c r="N23" i="7"/>
  <c r="M23" i="7"/>
  <c r="L23" i="7"/>
  <c r="O23" i="7" s="1"/>
  <c r="T20" i="7"/>
  <c r="Q20" i="7"/>
  <c r="N20" i="7"/>
  <c r="M20" i="7"/>
  <c r="A790" i="6"/>
  <c r="A789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H778" i="6"/>
  <c r="I777" i="6"/>
  <c r="I776" i="6"/>
  <c r="I775" i="6"/>
  <c r="K775" i="6" s="1"/>
  <c r="I773" i="6"/>
  <c r="I771" i="6"/>
  <c r="K771" i="6" s="1"/>
  <c r="U769" i="6"/>
  <c r="T769" i="6"/>
  <c r="P769" i="6"/>
  <c r="O769" i="6"/>
  <c r="U768" i="6"/>
  <c r="T768" i="6"/>
  <c r="P768" i="6"/>
  <c r="O768" i="6"/>
  <c r="T767" i="6"/>
  <c r="S767" i="6"/>
  <c r="R767" i="6"/>
  <c r="U767" i="6" s="1"/>
  <c r="Q767" i="6"/>
  <c r="N767" i="6"/>
  <c r="M767" i="6"/>
  <c r="P767" i="6" s="1"/>
  <c r="L767" i="6"/>
  <c r="O767" i="6" s="1"/>
  <c r="S766" i="6"/>
  <c r="S764" i="6" s="1"/>
  <c r="R766" i="6"/>
  <c r="R763" i="6" s="1"/>
  <c r="U763" i="6" s="1"/>
  <c r="Q766" i="6"/>
  <c r="T766" i="6" s="1"/>
  <c r="P766" i="6"/>
  <c r="O766" i="6"/>
  <c r="U765" i="6"/>
  <c r="T765" i="6"/>
  <c r="P765" i="6"/>
  <c r="O765" i="6"/>
  <c r="P764" i="6"/>
  <c r="O764" i="6"/>
  <c r="N764" i="6"/>
  <c r="M764" i="6"/>
  <c r="L764" i="6"/>
  <c r="O763" i="6"/>
  <c r="N763" i="6"/>
  <c r="M763" i="6"/>
  <c r="P763" i="6" s="1"/>
  <c r="L763" i="6"/>
  <c r="S762" i="6"/>
  <c r="R762" i="6"/>
  <c r="U762" i="6" s="1"/>
  <c r="Q762" i="6"/>
  <c r="T762" i="6" s="1"/>
  <c r="P762" i="6"/>
  <c r="N762" i="6"/>
  <c r="M762" i="6"/>
  <c r="M761" i="6" s="1"/>
  <c r="P761" i="6" s="1"/>
  <c r="L762" i="6"/>
  <c r="O762" i="6" s="1"/>
  <c r="N761" i="6"/>
  <c r="J760" i="6"/>
  <c r="J759" i="6"/>
  <c r="I756" i="6"/>
  <c r="K756" i="6" s="1"/>
  <c r="I753" i="6"/>
  <c r="K753" i="6" s="1"/>
  <c r="I750" i="6"/>
  <c r="K750" i="6" s="1"/>
  <c r="I747" i="6"/>
  <c r="K747" i="6" s="1"/>
  <c r="I745" i="6"/>
  <c r="K745" i="6" s="1"/>
  <c r="I743" i="6"/>
  <c r="K743" i="6" s="1"/>
  <c r="I741" i="6"/>
  <c r="K741" i="6" s="1"/>
  <c r="U737" i="6"/>
  <c r="T737" i="6"/>
  <c r="P737" i="6"/>
  <c r="O737" i="6"/>
  <c r="U736" i="6"/>
  <c r="T736" i="6"/>
  <c r="P736" i="6"/>
  <c r="O736" i="6"/>
  <c r="S735" i="6"/>
  <c r="R735" i="6"/>
  <c r="U735" i="6" s="1"/>
  <c r="Q735" i="6"/>
  <c r="T735" i="6" s="1"/>
  <c r="N735" i="6"/>
  <c r="M735" i="6"/>
  <c r="P735" i="6" s="1"/>
  <c r="L735" i="6"/>
  <c r="O735" i="6" s="1"/>
  <c r="S734" i="6"/>
  <c r="S732" i="6" s="1"/>
  <c r="R734" i="6"/>
  <c r="Q734" i="6"/>
  <c r="P734" i="6"/>
  <c r="O734" i="6"/>
  <c r="U733" i="6"/>
  <c r="T733" i="6"/>
  <c r="P733" i="6"/>
  <c r="O733" i="6"/>
  <c r="O732" i="6"/>
  <c r="N732" i="6"/>
  <c r="M732" i="6"/>
  <c r="P732" i="6" s="1"/>
  <c r="L732" i="6"/>
  <c r="N731" i="6"/>
  <c r="N729" i="6" s="1"/>
  <c r="M731" i="6"/>
  <c r="P731" i="6" s="1"/>
  <c r="L731" i="6"/>
  <c r="O731" i="6" s="1"/>
  <c r="U730" i="6"/>
  <c r="S730" i="6"/>
  <c r="R730" i="6"/>
  <c r="Q730" i="6"/>
  <c r="T730" i="6" s="1"/>
  <c r="P730" i="6"/>
  <c r="O730" i="6"/>
  <c r="N730" i="6"/>
  <c r="M730" i="6"/>
  <c r="L730" i="6"/>
  <c r="L729" i="6" s="1"/>
  <c r="O729" i="6" s="1"/>
  <c r="M729" i="6"/>
  <c r="P729" i="6" s="1"/>
  <c r="J728" i="6"/>
  <c r="I728" i="6"/>
  <c r="J727" i="6"/>
  <c r="I727" i="6"/>
  <c r="U723" i="6"/>
  <c r="T723" i="6"/>
  <c r="P723" i="6"/>
  <c r="O723" i="6"/>
  <c r="U722" i="6"/>
  <c r="T722" i="6"/>
  <c r="P722" i="6"/>
  <c r="O722" i="6"/>
  <c r="U721" i="6"/>
  <c r="T721" i="6"/>
  <c r="S721" i="6"/>
  <c r="R721" i="6"/>
  <c r="Q721" i="6"/>
  <c r="P721" i="6"/>
  <c r="O721" i="6"/>
  <c r="N721" i="6"/>
  <c r="M721" i="6"/>
  <c r="L721" i="6"/>
  <c r="U720" i="6"/>
  <c r="T720" i="6"/>
  <c r="P720" i="6"/>
  <c r="O720" i="6"/>
  <c r="U719" i="6"/>
  <c r="T719" i="6"/>
  <c r="P719" i="6"/>
  <c r="O719" i="6"/>
  <c r="U718" i="6"/>
  <c r="T718" i="6"/>
  <c r="S718" i="6"/>
  <c r="R718" i="6"/>
  <c r="Q718" i="6"/>
  <c r="P718" i="6"/>
  <c r="O718" i="6"/>
  <c r="N718" i="6"/>
  <c r="M718" i="6"/>
  <c r="L718" i="6"/>
  <c r="S717" i="6"/>
  <c r="R717" i="6"/>
  <c r="U717" i="6" s="1"/>
  <c r="Q717" i="6"/>
  <c r="T717" i="6" s="1"/>
  <c r="N717" i="6"/>
  <c r="N715" i="6" s="1"/>
  <c r="M717" i="6"/>
  <c r="P717" i="6" s="1"/>
  <c r="L717" i="6"/>
  <c r="O717" i="6" s="1"/>
  <c r="U716" i="6"/>
  <c r="S716" i="6"/>
  <c r="R716" i="6"/>
  <c r="R715" i="6" s="1"/>
  <c r="U715" i="6" s="1"/>
  <c r="Q716" i="6"/>
  <c r="T716" i="6" s="1"/>
  <c r="P716" i="6"/>
  <c r="N716" i="6"/>
  <c r="M716" i="6"/>
  <c r="L716" i="6"/>
  <c r="L715" i="6" s="1"/>
  <c r="O715" i="6" s="1"/>
  <c r="S715" i="6"/>
  <c r="P715" i="6"/>
  <c r="M715" i="6"/>
  <c r="K713" i="6"/>
  <c r="J713" i="6"/>
  <c r="K711" i="6"/>
  <c r="J711" i="6"/>
  <c r="J710" i="6"/>
  <c r="I710" i="6"/>
  <c r="K710" i="6" s="1"/>
  <c r="K709" i="6"/>
  <c r="J709" i="6"/>
  <c r="J708" i="6"/>
  <c r="J690" i="6" s="1"/>
  <c r="I708" i="6"/>
  <c r="I690" i="6" s="1"/>
  <c r="K690" i="6" s="1"/>
  <c r="K707" i="6"/>
  <c r="J707" i="6"/>
  <c r="J706" i="6"/>
  <c r="I706" i="6"/>
  <c r="K706" i="6" s="1"/>
  <c r="K705" i="6"/>
  <c r="J705" i="6"/>
  <c r="J704" i="6"/>
  <c r="I704" i="6"/>
  <c r="K704" i="6" s="1"/>
  <c r="K703" i="6"/>
  <c r="I701" i="6"/>
  <c r="K701" i="6" s="1"/>
  <c r="U699" i="6"/>
  <c r="T699" i="6"/>
  <c r="P699" i="6"/>
  <c r="O699" i="6"/>
  <c r="U698" i="6"/>
  <c r="T698" i="6"/>
  <c r="P698" i="6"/>
  <c r="O698" i="6"/>
  <c r="U697" i="6"/>
  <c r="T697" i="6"/>
  <c r="S697" i="6"/>
  <c r="R697" i="6"/>
  <c r="Q697" i="6"/>
  <c r="O697" i="6"/>
  <c r="N697" i="6"/>
  <c r="M697" i="6"/>
  <c r="P697" i="6" s="1"/>
  <c r="L697" i="6"/>
  <c r="S696" i="6"/>
  <c r="S694" i="6" s="1"/>
  <c r="R696" i="6"/>
  <c r="Q696" i="6"/>
  <c r="T696" i="6" s="1"/>
  <c r="P696" i="6"/>
  <c r="O696" i="6"/>
  <c r="U695" i="6"/>
  <c r="T695" i="6"/>
  <c r="P695" i="6"/>
  <c r="O695" i="6"/>
  <c r="P694" i="6"/>
  <c r="N694" i="6"/>
  <c r="M694" i="6"/>
  <c r="L694" i="6"/>
  <c r="O694" i="6" s="1"/>
  <c r="P693" i="6"/>
  <c r="O693" i="6"/>
  <c r="N693" i="6"/>
  <c r="M693" i="6"/>
  <c r="L693" i="6"/>
  <c r="S692" i="6"/>
  <c r="R692" i="6"/>
  <c r="U692" i="6" s="1"/>
  <c r="Q692" i="6"/>
  <c r="T692" i="6" s="1"/>
  <c r="N692" i="6"/>
  <c r="N691" i="6" s="1"/>
  <c r="M692" i="6"/>
  <c r="P692" i="6" s="1"/>
  <c r="L692" i="6"/>
  <c r="O692" i="6" s="1"/>
  <c r="L691" i="6"/>
  <c r="O691" i="6" s="1"/>
  <c r="J683" i="6"/>
  <c r="I683" i="6"/>
  <c r="K683" i="6" s="1"/>
  <c r="J682" i="6"/>
  <c r="I682" i="6"/>
  <c r="K682" i="6" s="1"/>
  <c r="J681" i="6"/>
  <c r="J680" i="6"/>
  <c r="I680" i="6"/>
  <c r="K680" i="6" s="1"/>
  <c r="J679" i="6"/>
  <c r="I679" i="6"/>
  <c r="K679" i="6" s="1"/>
  <c r="J678" i="6"/>
  <c r="J677" i="6"/>
  <c r="I677" i="6"/>
  <c r="K677" i="6" s="1"/>
  <c r="I676" i="6"/>
  <c r="K676" i="6" s="1"/>
  <c r="I675" i="6"/>
  <c r="K675" i="6" s="1"/>
  <c r="J674" i="6"/>
  <c r="I674" i="6"/>
  <c r="K674" i="6" s="1"/>
  <c r="J673" i="6"/>
  <c r="J672" i="6"/>
  <c r="J662" i="6"/>
  <c r="I662" i="6"/>
  <c r="K662" i="6" s="1"/>
  <c r="I661" i="6"/>
  <c r="I658" i="6"/>
  <c r="J655" i="6"/>
  <c r="I655" i="6"/>
  <c r="K655" i="6" s="1"/>
  <c r="J654" i="6"/>
  <c r="I654" i="6"/>
  <c r="K654" i="6" s="1"/>
  <c r="J653" i="6"/>
  <c r="I653" i="6"/>
  <c r="K653" i="6" s="1"/>
  <c r="U651" i="6"/>
  <c r="T651" i="6"/>
  <c r="P651" i="6"/>
  <c r="O651" i="6"/>
  <c r="U650" i="6"/>
  <c r="T650" i="6"/>
  <c r="P650" i="6"/>
  <c r="O650" i="6"/>
  <c r="T649" i="6"/>
  <c r="S649" i="6"/>
  <c r="R649" i="6"/>
  <c r="U649" i="6" s="1"/>
  <c r="Q649" i="6"/>
  <c r="O649" i="6"/>
  <c r="N649" i="6"/>
  <c r="M649" i="6"/>
  <c r="P649" i="6" s="1"/>
  <c r="L649" i="6"/>
  <c r="S648" i="6"/>
  <c r="S646" i="6" s="1"/>
  <c r="R648" i="6"/>
  <c r="U648" i="6" s="1"/>
  <c r="Q648" i="6"/>
  <c r="P648" i="6"/>
  <c r="O648" i="6"/>
  <c r="U647" i="6"/>
  <c r="T647" i="6"/>
  <c r="P647" i="6"/>
  <c r="O647" i="6"/>
  <c r="P646" i="6"/>
  <c r="O646" i="6"/>
  <c r="N646" i="6"/>
  <c r="M646" i="6"/>
  <c r="L646" i="6"/>
  <c r="P645" i="6"/>
  <c r="O645" i="6"/>
  <c r="N645" i="6"/>
  <c r="M645" i="6"/>
  <c r="L645" i="6"/>
  <c r="S644" i="6"/>
  <c r="R644" i="6"/>
  <c r="Q644" i="6"/>
  <c r="N644" i="6"/>
  <c r="N643" i="6" s="1"/>
  <c r="M644" i="6"/>
  <c r="P644" i="6" s="1"/>
  <c r="L644" i="6"/>
  <c r="O644" i="6" s="1"/>
  <c r="L643" i="6"/>
  <c r="O643" i="6" s="1"/>
  <c r="J637" i="6"/>
  <c r="J636" i="6"/>
  <c r="I636" i="6"/>
  <c r="K636" i="6" s="1"/>
  <c r="J633" i="6"/>
  <c r="I629" i="6"/>
  <c r="K629" i="6" s="1"/>
  <c r="I628" i="6"/>
  <c r="K628" i="6" s="1"/>
  <c r="J627" i="6"/>
  <c r="I627" i="6"/>
  <c r="K633" i="6" s="1"/>
  <c r="U625" i="6"/>
  <c r="T625" i="6"/>
  <c r="P625" i="6"/>
  <c r="O625" i="6"/>
  <c r="U624" i="6"/>
  <c r="T624" i="6"/>
  <c r="P624" i="6"/>
  <c r="O624" i="6"/>
  <c r="U623" i="6"/>
  <c r="T623" i="6"/>
  <c r="S623" i="6"/>
  <c r="R623" i="6"/>
  <c r="Q623" i="6"/>
  <c r="O623" i="6"/>
  <c r="N623" i="6"/>
  <c r="M623" i="6"/>
  <c r="P623" i="6" s="1"/>
  <c r="L623" i="6"/>
  <c r="S622" i="6"/>
  <c r="S619" i="6" s="1"/>
  <c r="R622" i="6"/>
  <c r="Q622" i="6"/>
  <c r="Q620" i="6" s="1"/>
  <c r="P622" i="6"/>
  <c r="O622" i="6"/>
  <c r="U621" i="6"/>
  <c r="T621" i="6"/>
  <c r="P621" i="6"/>
  <c r="O621" i="6"/>
  <c r="N620" i="6"/>
  <c r="M620" i="6"/>
  <c r="P620" i="6" s="1"/>
  <c r="L620" i="6"/>
  <c r="O620" i="6" s="1"/>
  <c r="P619" i="6"/>
  <c r="O619" i="6"/>
  <c r="N619" i="6"/>
  <c r="M619" i="6"/>
  <c r="L619" i="6"/>
  <c r="U618" i="6"/>
  <c r="T618" i="6"/>
  <c r="S618" i="6"/>
  <c r="R618" i="6"/>
  <c r="Q618" i="6"/>
  <c r="O618" i="6"/>
  <c r="N618" i="6"/>
  <c r="N617" i="6" s="1"/>
  <c r="M618" i="6"/>
  <c r="P618" i="6" s="1"/>
  <c r="L618" i="6"/>
  <c r="L617" i="6" s="1"/>
  <c r="O617" i="6" s="1"/>
  <c r="J616" i="6"/>
  <c r="U608" i="6"/>
  <c r="T608" i="6"/>
  <c r="P608" i="6"/>
  <c r="O608" i="6"/>
  <c r="U607" i="6"/>
  <c r="T607" i="6"/>
  <c r="P607" i="6"/>
  <c r="O607" i="6"/>
  <c r="U606" i="6"/>
  <c r="T606" i="6"/>
  <c r="S606" i="6"/>
  <c r="R606" i="6"/>
  <c r="Q606" i="6"/>
  <c r="O606" i="6"/>
  <c r="N606" i="6"/>
  <c r="M606" i="6"/>
  <c r="P606" i="6" s="1"/>
  <c r="L606" i="6"/>
  <c r="U605" i="6"/>
  <c r="T605" i="6"/>
  <c r="P605" i="6"/>
  <c r="O605" i="6"/>
  <c r="U604" i="6"/>
  <c r="T604" i="6"/>
  <c r="P604" i="6"/>
  <c r="O604" i="6"/>
  <c r="U603" i="6"/>
  <c r="T603" i="6"/>
  <c r="S603" i="6"/>
  <c r="R603" i="6"/>
  <c r="Q603" i="6"/>
  <c r="O603" i="6"/>
  <c r="N603" i="6"/>
  <c r="M603" i="6"/>
  <c r="P603" i="6" s="1"/>
  <c r="L603" i="6"/>
  <c r="T602" i="6"/>
  <c r="S602" i="6"/>
  <c r="R602" i="6"/>
  <c r="U602" i="6" s="1"/>
  <c r="Q602" i="6"/>
  <c r="N602" i="6"/>
  <c r="N600" i="6" s="1"/>
  <c r="M602" i="6"/>
  <c r="P602" i="6" s="1"/>
  <c r="L602" i="6"/>
  <c r="O602" i="6" s="1"/>
  <c r="U601" i="6"/>
  <c r="S601" i="6"/>
  <c r="R601" i="6"/>
  <c r="R600" i="6" s="1"/>
  <c r="U600" i="6" s="1"/>
  <c r="Q601" i="6"/>
  <c r="T601" i="6" s="1"/>
  <c r="P601" i="6"/>
  <c r="O601" i="6"/>
  <c r="N601" i="6"/>
  <c r="M601" i="6"/>
  <c r="L601" i="6"/>
  <c r="S600" i="6"/>
  <c r="P600" i="6"/>
  <c r="M600" i="6"/>
  <c r="U585" i="6"/>
  <c r="T585" i="6"/>
  <c r="P585" i="6"/>
  <c r="O585" i="6"/>
  <c r="U584" i="6"/>
  <c r="T584" i="6"/>
  <c r="P584" i="6"/>
  <c r="O584" i="6"/>
  <c r="U583" i="6"/>
  <c r="T583" i="6"/>
  <c r="S583" i="6"/>
  <c r="R583" i="6"/>
  <c r="Q583" i="6"/>
  <c r="P583" i="6"/>
  <c r="O583" i="6"/>
  <c r="N583" i="6"/>
  <c r="M583" i="6"/>
  <c r="L583" i="6"/>
  <c r="U582" i="6"/>
  <c r="T582" i="6"/>
  <c r="P582" i="6"/>
  <c r="O582" i="6"/>
  <c r="U581" i="6"/>
  <c r="T581" i="6"/>
  <c r="P581" i="6"/>
  <c r="O581" i="6"/>
  <c r="U580" i="6"/>
  <c r="T580" i="6"/>
  <c r="S580" i="6"/>
  <c r="R580" i="6"/>
  <c r="Q580" i="6"/>
  <c r="P580" i="6"/>
  <c r="O580" i="6"/>
  <c r="N580" i="6"/>
  <c r="M580" i="6"/>
  <c r="L580" i="6"/>
  <c r="S579" i="6"/>
  <c r="R579" i="6"/>
  <c r="U579" i="6" s="1"/>
  <c r="Q579" i="6"/>
  <c r="T579" i="6" s="1"/>
  <c r="N579" i="6"/>
  <c r="M579" i="6"/>
  <c r="P579" i="6" s="1"/>
  <c r="L579" i="6"/>
  <c r="O579" i="6" s="1"/>
  <c r="U578" i="6"/>
  <c r="S578" i="6"/>
  <c r="R578" i="6"/>
  <c r="R577" i="6" s="1"/>
  <c r="U577" i="6" s="1"/>
  <c r="Q578" i="6"/>
  <c r="T578" i="6" s="1"/>
  <c r="P578" i="6"/>
  <c r="N578" i="6"/>
  <c r="M578" i="6"/>
  <c r="L578" i="6"/>
  <c r="L577" i="6" s="1"/>
  <c r="O577" i="6" s="1"/>
  <c r="S577" i="6"/>
  <c r="P577" i="6"/>
  <c r="N577" i="6"/>
  <c r="M577" i="6"/>
  <c r="J576" i="6"/>
  <c r="I576" i="6"/>
  <c r="K576" i="6" s="1"/>
  <c r="U564" i="6"/>
  <c r="T564" i="6"/>
  <c r="P564" i="6"/>
  <c r="O564" i="6"/>
  <c r="U563" i="6"/>
  <c r="T563" i="6"/>
  <c r="P563" i="6"/>
  <c r="O563" i="6"/>
  <c r="S562" i="6"/>
  <c r="R562" i="6"/>
  <c r="U562" i="6" s="1"/>
  <c r="Q562" i="6"/>
  <c r="T562" i="6" s="1"/>
  <c r="P562" i="6"/>
  <c r="N562" i="6"/>
  <c r="M562" i="6"/>
  <c r="L562" i="6"/>
  <c r="O562" i="6" s="1"/>
  <c r="U561" i="6"/>
  <c r="T561" i="6"/>
  <c r="P561" i="6"/>
  <c r="O561" i="6"/>
  <c r="U560" i="6"/>
  <c r="T560" i="6"/>
  <c r="P560" i="6"/>
  <c r="O560" i="6"/>
  <c r="S559" i="6"/>
  <c r="R559" i="6"/>
  <c r="U559" i="6" s="1"/>
  <c r="Q559" i="6"/>
  <c r="T559" i="6" s="1"/>
  <c r="P559" i="6"/>
  <c r="N559" i="6"/>
  <c r="M559" i="6"/>
  <c r="L559" i="6"/>
  <c r="O559" i="6" s="1"/>
  <c r="U558" i="6"/>
  <c r="S558" i="6"/>
  <c r="R558" i="6"/>
  <c r="Q558" i="6"/>
  <c r="T558" i="6" s="1"/>
  <c r="P558" i="6"/>
  <c r="O558" i="6"/>
  <c r="N558" i="6"/>
  <c r="M558" i="6"/>
  <c r="L558" i="6"/>
  <c r="U557" i="6"/>
  <c r="T557" i="6"/>
  <c r="S557" i="6"/>
  <c r="R557" i="6"/>
  <c r="R556" i="6" s="1"/>
  <c r="U556" i="6" s="1"/>
  <c r="Q557" i="6"/>
  <c r="N557" i="6"/>
  <c r="N556" i="6" s="1"/>
  <c r="M557" i="6"/>
  <c r="L557" i="6"/>
  <c r="L556" i="6" s="1"/>
  <c r="O556" i="6" s="1"/>
  <c r="S556" i="6"/>
  <c r="Q556" i="6"/>
  <c r="T556" i="6" s="1"/>
  <c r="K555" i="6"/>
  <c r="J555" i="6"/>
  <c r="I555" i="6"/>
  <c r="U543" i="6"/>
  <c r="T543" i="6"/>
  <c r="P543" i="6"/>
  <c r="O543" i="6"/>
  <c r="U542" i="6"/>
  <c r="T542" i="6"/>
  <c r="P542" i="6"/>
  <c r="O542" i="6"/>
  <c r="U541" i="6"/>
  <c r="T541" i="6"/>
  <c r="S541" i="6"/>
  <c r="R541" i="6"/>
  <c r="Q541" i="6"/>
  <c r="O541" i="6"/>
  <c r="N541" i="6"/>
  <c r="M541" i="6"/>
  <c r="P541" i="6" s="1"/>
  <c r="L541" i="6"/>
  <c r="U540" i="6"/>
  <c r="T540" i="6"/>
  <c r="P540" i="6"/>
  <c r="O540" i="6"/>
  <c r="U539" i="6"/>
  <c r="T539" i="6"/>
  <c r="P539" i="6"/>
  <c r="O539" i="6"/>
  <c r="U538" i="6"/>
  <c r="T538" i="6"/>
  <c r="S538" i="6"/>
  <c r="R538" i="6"/>
  <c r="Q538" i="6"/>
  <c r="O538" i="6"/>
  <c r="N538" i="6"/>
  <c r="M538" i="6"/>
  <c r="P538" i="6" s="1"/>
  <c r="L538" i="6"/>
  <c r="S537" i="6"/>
  <c r="R537" i="6"/>
  <c r="U537" i="6" s="1"/>
  <c r="Q537" i="6"/>
  <c r="T537" i="6" s="1"/>
  <c r="N537" i="6"/>
  <c r="N535" i="6" s="1"/>
  <c r="M537" i="6"/>
  <c r="P537" i="6" s="1"/>
  <c r="L537" i="6"/>
  <c r="O537" i="6" s="1"/>
  <c r="S536" i="6"/>
  <c r="R536" i="6"/>
  <c r="Q536" i="6"/>
  <c r="T536" i="6" s="1"/>
  <c r="P536" i="6"/>
  <c r="N536" i="6"/>
  <c r="M536" i="6"/>
  <c r="L536" i="6"/>
  <c r="O536" i="6" s="1"/>
  <c r="S535" i="6"/>
  <c r="P535" i="6"/>
  <c r="M535" i="6"/>
  <c r="J534" i="6"/>
  <c r="I534" i="6"/>
  <c r="K534" i="6" s="1"/>
  <c r="K525" i="6"/>
  <c r="K524" i="6"/>
  <c r="U522" i="6"/>
  <c r="T522" i="6"/>
  <c r="N522" i="6"/>
  <c r="M522" i="6"/>
  <c r="L522" i="6"/>
  <c r="U521" i="6"/>
  <c r="T521" i="6"/>
  <c r="P521" i="6"/>
  <c r="O521" i="6"/>
  <c r="U520" i="6"/>
  <c r="S520" i="6"/>
  <c r="R520" i="6"/>
  <c r="Q520" i="6"/>
  <c r="T520" i="6" s="1"/>
  <c r="U519" i="6"/>
  <c r="T519" i="6"/>
  <c r="N519" i="6"/>
  <c r="N517" i="6" s="1"/>
  <c r="M519" i="6"/>
  <c r="P519" i="6" s="1"/>
  <c r="L519" i="6"/>
  <c r="O519" i="6" s="1"/>
  <c r="U518" i="6"/>
  <c r="T518" i="6"/>
  <c r="P518" i="6"/>
  <c r="O518" i="6"/>
  <c r="T517" i="6"/>
  <c r="S517" i="6"/>
  <c r="R517" i="6"/>
  <c r="U517" i="6" s="1"/>
  <c r="Q517" i="6"/>
  <c r="S516" i="6"/>
  <c r="S514" i="6" s="1"/>
  <c r="R516" i="6"/>
  <c r="U516" i="6" s="1"/>
  <c r="Q516" i="6"/>
  <c r="T516" i="6" s="1"/>
  <c r="U515" i="6"/>
  <c r="T515" i="6"/>
  <c r="S515" i="6"/>
  <c r="R515" i="6"/>
  <c r="Q515" i="6"/>
  <c r="Q514" i="6" s="1"/>
  <c r="T514" i="6" s="1"/>
  <c r="P515" i="6"/>
  <c r="O515" i="6"/>
  <c r="N515" i="6"/>
  <c r="M515" i="6"/>
  <c r="L515" i="6"/>
  <c r="U514" i="6"/>
  <c r="R514" i="6"/>
  <c r="J513" i="6"/>
  <c r="I513" i="6"/>
  <c r="K513" i="6" s="1"/>
  <c r="I510" i="6"/>
  <c r="K510" i="6" s="1"/>
  <c r="K509" i="6"/>
  <c r="I508" i="6"/>
  <c r="K508" i="6" s="1"/>
  <c r="I507" i="6"/>
  <c r="K507" i="6" s="1"/>
  <c r="I506" i="6"/>
  <c r="I505" i="6"/>
  <c r="K505" i="6" s="1"/>
  <c r="I504" i="6"/>
  <c r="U502" i="6"/>
  <c r="T502" i="6"/>
  <c r="P502" i="6"/>
  <c r="O502" i="6"/>
  <c r="U501" i="6"/>
  <c r="T501" i="6"/>
  <c r="P501" i="6"/>
  <c r="O501" i="6"/>
  <c r="T500" i="6"/>
  <c r="S500" i="6"/>
  <c r="R500" i="6"/>
  <c r="U500" i="6" s="1"/>
  <c r="Q500" i="6"/>
  <c r="N500" i="6"/>
  <c r="M500" i="6"/>
  <c r="P500" i="6" s="1"/>
  <c r="L500" i="6"/>
  <c r="O500" i="6" s="1"/>
  <c r="S499" i="6"/>
  <c r="R499" i="6"/>
  <c r="R496" i="6" s="1"/>
  <c r="U496" i="6" s="1"/>
  <c r="Q499" i="6"/>
  <c r="T499" i="6" s="1"/>
  <c r="P499" i="6"/>
  <c r="O499" i="6"/>
  <c r="U498" i="6"/>
  <c r="T498" i="6"/>
  <c r="P498" i="6"/>
  <c r="O498" i="6"/>
  <c r="P497" i="6"/>
  <c r="O497" i="6"/>
  <c r="N497" i="6"/>
  <c r="M497" i="6"/>
  <c r="L497" i="6"/>
  <c r="N496" i="6"/>
  <c r="M496" i="6"/>
  <c r="P496" i="6" s="1"/>
  <c r="L496" i="6"/>
  <c r="O496" i="6" s="1"/>
  <c r="S495" i="6"/>
  <c r="R495" i="6"/>
  <c r="U495" i="6" s="1"/>
  <c r="Q495" i="6"/>
  <c r="N495" i="6"/>
  <c r="M495" i="6"/>
  <c r="L495" i="6"/>
  <c r="O495" i="6" s="1"/>
  <c r="N494" i="6"/>
  <c r="K486" i="6"/>
  <c r="J486" i="6"/>
  <c r="I486" i="6"/>
  <c r="K485" i="6"/>
  <c r="J485" i="6"/>
  <c r="I485" i="6"/>
  <c r="J484" i="6"/>
  <c r="J483" i="6"/>
  <c r="K478" i="6"/>
  <c r="J478" i="6"/>
  <c r="K477" i="6"/>
  <c r="J477" i="6"/>
  <c r="K476" i="6"/>
  <c r="J476" i="6"/>
  <c r="J469" i="6"/>
  <c r="J468" i="6"/>
  <c r="J461" i="6"/>
  <c r="J459" i="6" s="1"/>
  <c r="J460" i="6"/>
  <c r="I459" i="6"/>
  <c r="K459" i="6" s="1"/>
  <c r="I458" i="6"/>
  <c r="J448" i="6"/>
  <c r="J442" i="6" s="1"/>
  <c r="J447" i="6"/>
  <c r="I442" i="6"/>
  <c r="K442" i="6" s="1"/>
  <c r="J441" i="6"/>
  <c r="I441" i="6"/>
  <c r="I424" i="6" s="1"/>
  <c r="I413" i="6" s="1"/>
  <c r="K413" i="6" s="1"/>
  <c r="J434" i="6"/>
  <c r="I434" i="6"/>
  <c r="K434" i="6" s="1"/>
  <c r="J433" i="6"/>
  <c r="I433" i="6"/>
  <c r="K433" i="6" s="1"/>
  <c r="J426" i="6"/>
  <c r="I426" i="6"/>
  <c r="K426" i="6" s="1"/>
  <c r="J425" i="6"/>
  <c r="I425" i="6"/>
  <c r="K425" i="6" s="1"/>
  <c r="J424" i="6"/>
  <c r="U422" i="6"/>
  <c r="T422" i="6"/>
  <c r="P422" i="6"/>
  <c r="O422" i="6"/>
  <c r="U421" i="6"/>
  <c r="T421" i="6"/>
  <c r="P421" i="6"/>
  <c r="O421" i="6"/>
  <c r="U420" i="6"/>
  <c r="T420" i="6"/>
  <c r="S420" i="6"/>
  <c r="R420" i="6"/>
  <c r="Q420" i="6"/>
  <c r="P420" i="6"/>
  <c r="O420" i="6"/>
  <c r="N420" i="6"/>
  <c r="M420" i="6"/>
  <c r="L420" i="6"/>
  <c r="S419" i="6"/>
  <c r="S416" i="6" s="1"/>
  <c r="R419" i="6"/>
  <c r="R417" i="6" s="1"/>
  <c r="U417" i="6" s="1"/>
  <c r="Q419" i="6"/>
  <c r="Q417" i="6" s="1"/>
  <c r="T417" i="6" s="1"/>
  <c r="P419" i="6"/>
  <c r="O419" i="6"/>
  <c r="U418" i="6"/>
  <c r="T418" i="6"/>
  <c r="P418" i="6"/>
  <c r="O418" i="6"/>
  <c r="N417" i="6"/>
  <c r="M417" i="6"/>
  <c r="P417" i="6" s="1"/>
  <c r="L417" i="6"/>
  <c r="O417" i="6" s="1"/>
  <c r="P416" i="6"/>
  <c r="O416" i="6"/>
  <c r="N416" i="6"/>
  <c r="M416" i="6"/>
  <c r="L416" i="6"/>
  <c r="U415" i="6"/>
  <c r="T415" i="6"/>
  <c r="S415" i="6"/>
  <c r="R415" i="6"/>
  <c r="Q415" i="6"/>
  <c r="N415" i="6"/>
  <c r="N414" i="6" s="1"/>
  <c r="M415" i="6"/>
  <c r="P415" i="6" s="1"/>
  <c r="L415" i="6"/>
  <c r="M414" i="6"/>
  <c r="P414" i="6" s="1"/>
  <c r="J413" i="6"/>
  <c r="U401" i="6"/>
  <c r="T401" i="6"/>
  <c r="P401" i="6"/>
  <c r="O401" i="6"/>
  <c r="U400" i="6"/>
  <c r="T400" i="6"/>
  <c r="P400" i="6"/>
  <c r="O400" i="6"/>
  <c r="U399" i="6"/>
  <c r="T399" i="6"/>
  <c r="S399" i="6"/>
  <c r="R399" i="6"/>
  <c r="Q399" i="6"/>
  <c r="P399" i="6"/>
  <c r="O399" i="6"/>
  <c r="N399" i="6"/>
  <c r="M399" i="6"/>
  <c r="L399" i="6"/>
  <c r="U398" i="6"/>
  <c r="T398" i="6"/>
  <c r="P398" i="6"/>
  <c r="O398" i="6"/>
  <c r="U397" i="6"/>
  <c r="T397" i="6"/>
  <c r="P397" i="6"/>
  <c r="O397" i="6"/>
  <c r="U396" i="6"/>
  <c r="T396" i="6"/>
  <c r="S396" i="6"/>
  <c r="R396" i="6"/>
  <c r="Q396" i="6"/>
  <c r="P396" i="6"/>
  <c r="N396" i="6"/>
  <c r="M396" i="6"/>
  <c r="L396" i="6"/>
  <c r="O396" i="6" s="1"/>
  <c r="S395" i="6"/>
  <c r="R395" i="6"/>
  <c r="U395" i="6" s="1"/>
  <c r="Q395" i="6"/>
  <c r="T395" i="6" s="1"/>
  <c r="N395" i="6"/>
  <c r="M395" i="6"/>
  <c r="L395" i="6"/>
  <c r="O395" i="6" s="1"/>
  <c r="S394" i="6"/>
  <c r="R394" i="6"/>
  <c r="U394" i="6" s="1"/>
  <c r="Q394" i="6"/>
  <c r="T394" i="6" s="1"/>
  <c r="P394" i="6"/>
  <c r="N394" i="6"/>
  <c r="M394" i="6"/>
  <c r="L394" i="6"/>
  <c r="O394" i="6" s="1"/>
  <c r="U393" i="6"/>
  <c r="S393" i="6"/>
  <c r="R393" i="6"/>
  <c r="N393" i="6"/>
  <c r="J392" i="6"/>
  <c r="I392" i="6"/>
  <c r="K392" i="6" s="1"/>
  <c r="J389" i="6"/>
  <c r="I389" i="6"/>
  <c r="K389" i="6" s="1"/>
  <c r="K388" i="6"/>
  <c r="J388" i="6"/>
  <c r="J387" i="6"/>
  <c r="I387" i="6"/>
  <c r="K386" i="6"/>
  <c r="J386" i="6"/>
  <c r="U384" i="6"/>
  <c r="T384" i="6"/>
  <c r="P384" i="6"/>
  <c r="O384" i="6"/>
  <c r="U383" i="6"/>
  <c r="T383" i="6"/>
  <c r="P383" i="6"/>
  <c r="O383" i="6"/>
  <c r="U382" i="6"/>
  <c r="T382" i="6"/>
  <c r="S382" i="6"/>
  <c r="R382" i="6"/>
  <c r="Q382" i="6"/>
  <c r="O382" i="6"/>
  <c r="N382" i="6"/>
  <c r="M382" i="6"/>
  <c r="P382" i="6" s="1"/>
  <c r="L382" i="6"/>
  <c r="S381" i="6"/>
  <c r="S379" i="6" s="1"/>
  <c r="R381" i="6"/>
  <c r="Q381" i="6"/>
  <c r="Q379" i="6" s="1"/>
  <c r="P381" i="6"/>
  <c r="O381" i="6"/>
  <c r="U380" i="6"/>
  <c r="T380" i="6"/>
  <c r="P380" i="6"/>
  <c r="O380" i="6"/>
  <c r="P379" i="6"/>
  <c r="N379" i="6"/>
  <c r="M379" i="6"/>
  <c r="L379" i="6"/>
  <c r="O379" i="6" s="1"/>
  <c r="P378" i="6"/>
  <c r="N378" i="6"/>
  <c r="M378" i="6"/>
  <c r="L378" i="6"/>
  <c r="T377" i="6"/>
  <c r="S377" i="6"/>
  <c r="R377" i="6"/>
  <c r="U377" i="6" s="1"/>
  <c r="Q377" i="6"/>
  <c r="P377" i="6"/>
  <c r="N377" i="6"/>
  <c r="M377" i="6"/>
  <c r="M376" i="6" s="1"/>
  <c r="P376" i="6" s="1"/>
  <c r="L377" i="6"/>
  <c r="O377" i="6" s="1"/>
  <c r="N376" i="6"/>
  <c r="D374" i="6"/>
  <c r="K373" i="6"/>
  <c r="J373" i="6"/>
  <c r="J372" i="6"/>
  <c r="J366" i="6" s="1"/>
  <c r="I372" i="6"/>
  <c r="K371" i="6"/>
  <c r="J371" i="6"/>
  <c r="J370" i="6"/>
  <c r="I370" i="6"/>
  <c r="J369" i="6"/>
  <c r="I369" i="6"/>
  <c r="K368" i="6"/>
  <c r="J368" i="6"/>
  <c r="U365" i="6"/>
  <c r="T365" i="6"/>
  <c r="N365" i="6"/>
  <c r="N363" i="6" s="1"/>
  <c r="M365" i="6"/>
  <c r="M363" i="6" s="1"/>
  <c r="P363" i="6" s="1"/>
  <c r="L365" i="6"/>
  <c r="O365" i="6" s="1"/>
  <c r="U364" i="6"/>
  <c r="T364" i="6"/>
  <c r="P364" i="6"/>
  <c r="O364" i="6"/>
  <c r="S363" i="6"/>
  <c r="R363" i="6"/>
  <c r="U363" i="6" s="1"/>
  <c r="Q363" i="6"/>
  <c r="T363" i="6" s="1"/>
  <c r="U362" i="6"/>
  <c r="T362" i="6"/>
  <c r="N362" i="6"/>
  <c r="M362" i="6"/>
  <c r="L362" i="6"/>
  <c r="L360" i="6" s="1"/>
  <c r="U361" i="6"/>
  <c r="T361" i="6"/>
  <c r="P361" i="6"/>
  <c r="O361" i="6"/>
  <c r="T360" i="6"/>
  <c r="S360" i="6"/>
  <c r="R360" i="6"/>
  <c r="U360" i="6" s="1"/>
  <c r="Q360" i="6"/>
  <c r="T359" i="6"/>
  <c r="S359" i="6"/>
  <c r="S357" i="6" s="1"/>
  <c r="R359" i="6"/>
  <c r="U359" i="6" s="1"/>
  <c r="Q359" i="6"/>
  <c r="S358" i="6"/>
  <c r="R358" i="6"/>
  <c r="U358" i="6" s="1"/>
  <c r="Q358" i="6"/>
  <c r="P358" i="6"/>
  <c r="N358" i="6"/>
  <c r="M358" i="6"/>
  <c r="L358" i="6"/>
  <c r="O358" i="6" s="1"/>
  <c r="R357" i="6"/>
  <c r="U357" i="6" s="1"/>
  <c r="J355" i="6"/>
  <c r="J354" i="6"/>
  <c r="J353" i="6"/>
  <c r="D351" i="6"/>
  <c r="J350" i="6"/>
  <c r="J349" i="6"/>
  <c r="J348" i="6"/>
  <c r="J347" i="6"/>
  <c r="I347" i="6"/>
  <c r="J345" i="6"/>
  <c r="I345" i="6"/>
  <c r="I333" i="6" s="1"/>
  <c r="U342" i="6"/>
  <c r="T342" i="6"/>
  <c r="N342" i="6"/>
  <c r="N340" i="6" s="1"/>
  <c r="M342" i="6"/>
  <c r="L342" i="6"/>
  <c r="O342" i="6" s="1"/>
  <c r="U341" i="6"/>
  <c r="T341" i="6"/>
  <c r="P341" i="6"/>
  <c r="O341" i="6"/>
  <c r="U340" i="6"/>
  <c r="T340" i="6"/>
  <c r="S340" i="6"/>
  <c r="R340" i="6"/>
  <c r="Q340" i="6"/>
  <c r="U339" i="6"/>
  <c r="T339" i="6"/>
  <c r="N339" i="6"/>
  <c r="N337" i="6" s="1"/>
  <c r="M339" i="6"/>
  <c r="L339" i="6"/>
  <c r="L337" i="6" s="1"/>
  <c r="U338" i="6"/>
  <c r="T338" i="6"/>
  <c r="P338" i="6"/>
  <c r="O338" i="6"/>
  <c r="S337" i="6"/>
  <c r="R337" i="6"/>
  <c r="U337" i="6" s="1"/>
  <c r="Q337" i="6"/>
  <c r="T337" i="6" s="1"/>
  <c r="U336" i="6"/>
  <c r="S336" i="6"/>
  <c r="S334" i="6" s="1"/>
  <c r="R336" i="6"/>
  <c r="Q336" i="6"/>
  <c r="T336" i="6" s="1"/>
  <c r="U335" i="6"/>
  <c r="S335" i="6"/>
  <c r="R335" i="6"/>
  <c r="Q335" i="6"/>
  <c r="Q334" i="6" s="1"/>
  <c r="T334" i="6" s="1"/>
  <c r="O335" i="6"/>
  <c r="N335" i="6"/>
  <c r="M335" i="6"/>
  <c r="P335" i="6" s="1"/>
  <c r="L335" i="6"/>
  <c r="R334" i="6"/>
  <c r="U334" i="6" s="1"/>
  <c r="I331" i="6"/>
  <c r="K331" i="6" s="1"/>
  <c r="U329" i="6"/>
  <c r="T329" i="6"/>
  <c r="N329" i="6"/>
  <c r="N327" i="6" s="1"/>
  <c r="M329" i="6"/>
  <c r="M327" i="6" s="1"/>
  <c r="P327" i="6" s="1"/>
  <c r="L329" i="6"/>
  <c r="U328" i="6"/>
  <c r="T328" i="6"/>
  <c r="P328" i="6"/>
  <c r="O328" i="6"/>
  <c r="U327" i="6"/>
  <c r="T327" i="6"/>
  <c r="S327" i="6"/>
  <c r="R327" i="6"/>
  <c r="Q327" i="6"/>
  <c r="U326" i="6"/>
  <c r="T326" i="6"/>
  <c r="N326" i="6"/>
  <c r="M326" i="6"/>
  <c r="M324" i="6" s="1"/>
  <c r="P324" i="6" s="1"/>
  <c r="L326" i="6"/>
  <c r="U325" i="6"/>
  <c r="T325" i="6"/>
  <c r="P325" i="6"/>
  <c r="O325" i="6"/>
  <c r="S324" i="6"/>
  <c r="R324" i="6"/>
  <c r="U324" i="6" s="1"/>
  <c r="Q324" i="6"/>
  <c r="T324" i="6" s="1"/>
  <c r="T323" i="6"/>
  <c r="S323" i="6"/>
  <c r="R323" i="6"/>
  <c r="Q323" i="6"/>
  <c r="T322" i="6"/>
  <c r="S322" i="6"/>
  <c r="S321" i="6" s="1"/>
  <c r="R322" i="6"/>
  <c r="U322" i="6" s="1"/>
  <c r="Q322" i="6"/>
  <c r="N322" i="6"/>
  <c r="M322" i="6"/>
  <c r="L322" i="6"/>
  <c r="O322" i="6" s="1"/>
  <c r="Q321" i="6"/>
  <c r="T321" i="6" s="1"/>
  <c r="J320" i="6"/>
  <c r="I315" i="6"/>
  <c r="K315" i="6" s="1"/>
  <c r="U312" i="6"/>
  <c r="T312" i="6"/>
  <c r="N312" i="6"/>
  <c r="N310" i="6" s="1"/>
  <c r="M312" i="6"/>
  <c r="P312" i="6" s="1"/>
  <c r="L312" i="6"/>
  <c r="U311" i="6"/>
  <c r="T311" i="6"/>
  <c r="P311" i="6"/>
  <c r="O311" i="6"/>
  <c r="T310" i="6"/>
  <c r="S310" i="6"/>
  <c r="R310" i="6"/>
  <c r="U310" i="6" s="1"/>
  <c r="Q310" i="6"/>
  <c r="S309" i="6"/>
  <c r="S307" i="6" s="1"/>
  <c r="R309" i="6"/>
  <c r="R307" i="6" s="1"/>
  <c r="U307" i="6" s="1"/>
  <c r="Q309" i="6"/>
  <c r="N309" i="6"/>
  <c r="N307" i="6" s="1"/>
  <c r="M309" i="6"/>
  <c r="P309" i="6" s="1"/>
  <c r="L309" i="6"/>
  <c r="L307" i="6" s="1"/>
  <c r="O307" i="6" s="1"/>
  <c r="U308" i="6"/>
  <c r="T308" i="6"/>
  <c r="P308" i="6"/>
  <c r="O308" i="6"/>
  <c r="T305" i="6"/>
  <c r="S305" i="6"/>
  <c r="R305" i="6"/>
  <c r="Q305" i="6"/>
  <c r="P305" i="6"/>
  <c r="N305" i="6"/>
  <c r="M305" i="6"/>
  <c r="L305" i="6"/>
  <c r="J303" i="6"/>
  <c r="I297" i="6"/>
  <c r="K297" i="6" s="1"/>
  <c r="I296" i="6"/>
  <c r="K296" i="6" s="1"/>
  <c r="J294" i="6"/>
  <c r="I294" i="6"/>
  <c r="I281" i="6" s="1"/>
  <c r="K281" i="6" s="1"/>
  <c r="I293" i="6"/>
  <c r="I282" i="6" s="1"/>
  <c r="K282" i="6" s="1"/>
  <c r="U291" i="6"/>
  <c r="T291" i="6"/>
  <c r="N291" i="6"/>
  <c r="N289" i="6" s="1"/>
  <c r="M291" i="6"/>
  <c r="L291" i="6"/>
  <c r="U290" i="6"/>
  <c r="T290" i="6"/>
  <c r="P290" i="6"/>
  <c r="O290" i="6"/>
  <c r="U289" i="6"/>
  <c r="S289" i="6"/>
  <c r="R289" i="6"/>
  <c r="Q289" i="6"/>
  <c r="T289" i="6" s="1"/>
  <c r="U288" i="6"/>
  <c r="T288" i="6"/>
  <c r="N288" i="6"/>
  <c r="N286" i="6" s="1"/>
  <c r="M288" i="6"/>
  <c r="P288" i="6" s="1"/>
  <c r="L288" i="6"/>
  <c r="L286" i="6" s="1"/>
  <c r="O286" i="6" s="1"/>
  <c r="U287" i="6"/>
  <c r="T287" i="6"/>
  <c r="P287" i="6"/>
  <c r="O287" i="6"/>
  <c r="T286" i="6"/>
  <c r="S286" i="6"/>
  <c r="R286" i="6"/>
  <c r="U286" i="6" s="1"/>
  <c r="Q286" i="6"/>
  <c r="T285" i="6"/>
  <c r="S285" i="6"/>
  <c r="R285" i="6"/>
  <c r="U285" i="6" s="1"/>
  <c r="Q285" i="6"/>
  <c r="Q283" i="6" s="1"/>
  <c r="T283" i="6" s="1"/>
  <c r="T284" i="6"/>
  <c r="S284" i="6"/>
  <c r="R284" i="6"/>
  <c r="R283" i="6" s="1"/>
  <c r="U283" i="6" s="1"/>
  <c r="Q284" i="6"/>
  <c r="P284" i="6"/>
  <c r="N284" i="6"/>
  <c r="M284" i="6"/>
  <c r="L284" i="6"/>
  <c r="S283" i="6"/>
  <c r="J282" i="6"/>
  <c r="J281" i="6"/>
  <c r="I277" i="6"/>
  <c r="K277" i="6" s="1"/>
  <c r="U275" i="6"/>
  <c r="T275" i="6"/>
  <c r="N275" i="6"/>
  <c r="M275" i="6"/>
  <c r="L275" i="6"/>
  <c r="O275" i="6" s="1"/>
  <c r="U274" i="6"/>
  <c r="T274" i="6"/>
  <c r="P274" i="6"/>
  <c r="O274" i="6"/>
  <c r="U273" i="6"/>
  <c r="T273" i="6"/>
  <c r="S273" i="6"/>
  <c r="R273" i="6"/>
  <c r="Q273" i="6"/>
  <c r="N273" i="6"/>
  <c r="S272" i="6"/>
  <c r="R272" i="6"/>
  <c r="R270" i="6" s="1"/>
  <c r="Q272" i="6"/>
  <c r="N272" i="6"/>
  <c r="M272" i="6"/>
  <c r="L272" i="6"/>
  <c r="U271" i="6"/>
  <c r="T271" i="6"/>
  <c r="P271" i="6"/>
  <c r="O271" i="6"/>
  <c r="U268" i="6"/>
  <c r="T268" i="6"/>
  <c r="S268" i="6"/>
  <c r="R268" i="6"/>
  <c r="Q268" i="6"/>
  <c r="P268" i="6"/>
  <c r="O268" i="6"/>
  <c r="N268" i="6"/>
  <c r="M268" i="6"/>
  <c r="L268" i="6"/>
  <c r="J266" i="6"/>
  <c r="K264" i="6"/>
  <c r="K263" i="6"/>
  <c r="I261" i="6"/>
  <c r="I254" i="6" s="1"/>
  <c r="K254" i="6" s="1"/>
  <c r="L259" i="6"/>
  <c r="L258" i="6"/>
  <c r="L257" i="6"/>
  <c r="L256" i="6"/>
  <c r="P255" i="6"/>
  <c r="N255" i="6"/>
  <c r="J254" i="6"/>
  <c r="K253" i="6"/>
  <c r="K252" i="6"/>
  <c r="I250" i="6"/>
  <c r="L248" i="6"/>
  <c r="L247" i="6"/>
  <c r="L246" i="6"/>
  <c r="L245" i="6"/>
  <c r="P244" i="6"/>
  <c r="N244" i="6"/>
  <c r="J243" i="6"/>
  <c r="J242" i="6"/>
  <c r="I242" i="6"/>
  <c r="K242" i="6" s="1"/>
  <c r="J241" i="6"/>
  <c r="I241" i="6"/>
  <c r="K241" i="6" s="1"/>
  <c r="J239" i="6"/>
  <c r="N237" i="6"/>
  <c r="N236" i="6"/>
  <c r="N235" i="6"/>
  <c r="N234" i="6"/>
  <c r="N233" i="6"/>
  <c r="J232" i="6"/>
  <c r="J186" i="6" s="1"/>
  <c r="I231" i="6"/>
  <c r="I230" i="6"/>
  <c r="I229" i="6"/>
  <c r="K229" i="6" s="1"/>
  <c r="L226" i="6"/>
  <c r="L225" i="6"/>
  <c r="L224" i="6"/>
  <c r="P223" i="6"/>
  <c r="N223" i="6"/>
  <c r="J222" i="6"/>
  <c r="I221" i="6"/>
  <c r="K221" i="6" s="1"/>
  <c r="I220" i="6"/>
  <c r="K220" i="6" s="1"/>
  <c r="L218" i="6"/>
  <c r="L217" i="6"/>
  <c r="L216" i="6"/>
  <c r="P215" i="6"/>
  <c r="N215" i="6"/>
  <c r="J214" i="6"/>
  <c r="I213" i="6"/>
  <c r="K213" i="6" s="1"/>
  <c r="I212" i="6"/>
  <c r="K212" i="6" s="1"/>
  <c r="I210" i="6"/>
  <c r="K210" i="6" s="1"/>
  <c r="L208" i="6"/>
  <c r="L207" i="6"/>
  <c r="L206" i="6"/>
  <c r="L205" i="6"/>
  <c r="P204" i="6"/>
  <c r="N204" i="6"/>
  <c r="J203" i="6"/>
  <c r="J200" i="6"/>
  <c r="I199" i="6"/>
  <c r="K199" i="6" s="1"/>
  <c r="P197" i="6"/>
  <c r="L197" i="6"/>
  <c r="O197" i="6" s="1"/>
  <c r="J196" i="6"/>
  <c r="U195" i="6"/>
  <c r="T195" i="6"/>
  <c r="N195" i="6"/>
  <c r="N193" i="6" s="1"/>
  <c r="M195" i="6"/>
  <c r="P195" i="6" s="1"/>
  <c r="L195" i="6"/>
  <c r="U194" i="6"/>
  <c r="T194" i="6"/>
  <c r="P194" i="6"/>
  <c r="O194" i="6"/>
  <c r="U193" i="6"/>
  <c r="S193" i="6"/>
  <c r="R193" i="6"/>
  <c r="Q193" i="6"/>
  <c r="T193" i="6" s="1"/>
  <c r="S192" i="6"/>
  <c r="S190" i="6" s="1"/>
  <c r="R192" i="6"/>
  <c r="Q192" i="6"/>
  <c r="N192" i="6"/>
  <c r="M192" i="6"/>
  <c r="M190" i="6" s="1"/>
  <c r="L192" i="6"/>
  <c r="L190" i="6" s="1"/>
  <c r="U191" i="6"/>
  <c r="T191" i="6"/>
  <c r="P191" i="6"/>
  <c r="O191" i="6"/>
  <c r="U188" i="6"/>
  <c r="T188" i="6"/>
  <c r="S188" i="6"/>
  <c r="R188" i="6"/>
  <c r="Q188" i="6"/>
  <c r="O188" i="6"/>
  <c r="N188" i="6"/>
  <c r="M188" i="6"/>
  <c r="P188" i="6" s="1"/>
  <c r="L188" i="6"/>
  <c r="K185" i="6"/>
  <c r="I184" i="6"/>
  <c r="U182" i="6"/>
  <c r="T182" i="6"/>
  <c r="N182" i="6"/>
  <c r="M182" i="6"/>
  <c r="L182" i="6"/>
  <c r="L180" i="6" s="1"/>
  <c r="O180" i="6" s="1"/>
  <c r="U181" i="6"/>
  <c r="T181" i="6"/>
  <c r="P181" i="6"/>
  <c r="O181" i="6"/>
  <c r="U180" i="6"/>
  <c r="S180" i="6"/>
  <c r="R180" i="6"/>
  <c r="Q180" i="6"/>
  <c r="T180" i="6" s="1"/>
  <c r="S179" i="6"/>
  <c r="R179" i="6"/>
  <c r="R177" i="6" s="1"/>
  <c r="U177" i="6" s="1"/>
  <c r="Q179" i="6"/>
  <c r="Q177" i="6" s="1"/>
  <c r="T177" i="6" s="1"/>
  <c r="N179" i="6"/>
  <c r="N177" i="6" s="1"/>
  <c r="M179" i="6"/>
  <c r="L179" i="6"/>
  <c r="U178" i="6"/>
  <c r="T178" i="6"/>
  <c r="P178" i="6"/>
  <c r="O178" i="6"/>
  <c r="S175" i="6"/>
  <c r="R175" i="6"/>
  <c r="Q175" i="6"/>
  <c r="T175" i="6" s="1"/>
  <c r="P175" i="6"/>
  <c r="N175" i="6"/>
  <c r="M175" i="6"/>
  <c r="L175" i="6"/>
  <c r="J173" i="6"/>
  <c r="I170" i="6"/>
  <c r="K170" i="6" s="1"/>
  <c r="I169" i="6"/>
  <c r="K169" i="6" s="1"/>
  <c r="I168" i="6"/>
  <c r="K168" i="6" s="1"/>
  <c r="U166" i="6"/>
  <c r="T166" i="6"/>
  <c r="N166" i="6"/>
  <c r="N164" i="6" s="1"/>
  <c r="M166" i="6"/>
  <c r="L166" i="6"/>
  <c r="L164" i="6" s="1"/>
  <c r="O164" i="6" s="1"/>
  <c r="U165" i="6"/>
  <c r="T165" i="6"/>
  <c r="P165" i="6"/>
  <c r="O165" i="6"/>
  <c r="U164" i="6"/>
  <c r="S164" i="6"/>
  <c r="R164" i="6"/>
  <c r="Q164" i="6"/>
  <c r="T164" i="6" s="1"/>
  <c r="S163" i="6"/>
  <c r="S161" i="6" s="1"/>
  <c r="R163" i="6"/>
  <c r="R161" i="6" s="1"/>
  <c r="U161" i="6" s="1"/>
  <c r="Q163" i="6"/>
  <c r="Q161" i="6" s="1"/>
  <c r="T161" i="6" s="1"/>
  <c r="N163" i="6"/>
  <c r="N161" i="6" s="1"/>
  <c r="M163" i="6"/>
  <c r="L163" i="6"/>
  <c r="L161" i="6" s="1"/>
  <c r="O161" i="6" s="1"/>
  <c r="U162" i="6"/>
  <c r="T162" i="6"/>
  <c r="P162" i="6"/>
  <c r="O162" i="6"/>
  <c r="S159" i="6"/>
  <c r="R159" i="6"/>
  <c r="Q159" i="6"/>
  <c r="T159" i="6" s="1"/>
  <c r="P159" i="6"/>
  <c r="N159" i="6"/>
  <c r="M159" i="6"/>
  <c r="L159" i="6"/>
  <c r="J157" i="6"/>
  <c r="I155" i="6"/>
  <c r="I137" i="6" s="1"/>
  <c r="K137" i="6" s="1"/>
  <c r="I154" i="6"/>
  <c r="K154" i="6" s="1"/>
  <c r="I153" i="6"/>
  <c r="I152" i="6"/>
  <c r="K152" i="6" s="1"/>
  <c r="I151" i="6"/>
  <c r="K151" i="6" s="1"/>
  <c r="U148" i="6"/>
  <c r="T148" i="6"/>
  <c r="N148" i="6"/>
  <c r="M148" i="6"/>
  <c r="L148" i="6"/>
  <c r="O148" i="6" s="1"/>
  <c r="U147" i="6"/>
  <c r="T147" i="6"/>
  <c r="P147" i="6"/>
  <c r="O147" i="6"/>
  <c r="U146" i="6"/>
  <c r="T146" i="6"/>
  <c r="S146" i="6"/>
  <c r="R146" i="6"/>
  <c r="Q146" i="6"/>
  <c r="N146" i="6"/>
  <c r="S145" i="6"/>
  <c r="R145" i="6"/>
  <c r="U145" i="6" s="1"/>
  <c r="Q145" i="6"/>
  <c r="N145" i="6"/>
  <c r="M145" i="6"/>
  <c r="L145" i="6"/>
  <c r="U144" i="6"/>
  <c r="T144" i="6"/>
  <c r="P144" i="6"/>
  <c r="O144" i="6"/>
  <c r="U141" i="6"/>
  <c r="T141" i="6"/>
  <c r="S141" i="6"/>
  <c r="R141" i="6"/>
  <c r="Q141" i="6"/>
  <c r="P141" i="6"/>
  <c r="O141" i="6"/>
  <c r="N141" i="6"/>
  <c r="M141" i="6"/>
  <c r="L141" i="6"/>
  <c r="J139" i="6"/>
  <c r="J138" i="6"/>
  <c r="J137" i="6"/>
  <c r="I131" i="6"/>
  <c r="K131" i="6" s="1"/>
  <c r="I130" i="6"/>
  <c r="K130" i="6" s="1"/>
  <c r="I129" i="6"/>
  <c r="K129" i="6" s="1"/>
  <c r="I128" i="6"/>
  <c r="I117" i="6" s="1"/>
  <c r="K117" i="6" s="1"/>
  <c r="U126" i="6"/>
  <c r="T126" i="6"/>
  <c r="N126" i="6"/>
  <c r="N124" i="6" s="1"/>
  <c r="M126" i="6"/>
  <c r="L126" i="6"/>
  <c r="L124" i="6" s="1"/>
  <c r="O124" i="6" s="1"/>
  <c r="U125" i="6"/>
  <c r="T125" i="6"/>
  <c r="P125" i="6"/>
  <c r="O125" i="6"/>
  <c r="U124" i="6"/>
  <c r="T124" i="6"/>
  <c r="S124" i="6"/>
  <c r="R124" i="6"/>
  <c r="Q124" i="6"/>
  <c r="S123" i="6"/>
  <c r="R123" i="6"/>
  <c r="Q123" i="6"/>
  <c r="N123" i="6"/>
  <c r="N121" i="6" s="1"/>
  <c r="M123" i="6"/>
  <c r="L123" i="6"/>
  <c r="U122" i="6"/>
  <c r="T122" i="6"/>
  <c r="P122" i="6"/>
  <c r="O122" i="6"/>
  <c r="S119" i="6"/>
  <c r="R119" i="6"/>
  <c r="Q119" i="6"/>
  <c r="T119" i="6" s="1"/>
  <c r="N119" i="6"/>
  <c r="M119" i="6"/>
  <c r="L119" i="6"/>
  <c r="J117" i="6"/>
  <c r="I115" i="6"/>
  <c r="K115" i="6" s="1"/>
  <c r="I114" i="6"/>
  <c r="K114" i="6" s="1"/>
  <c r="I110" i="6"/>
  <c r="I94" i="6" s="1"/>
  <c r="K94" i="6" s="1"/>
  <c r="I109" i="6"/>
  <c r="U103" i="6"/>
  <c r="T103" i="6"/>
  <c r="N103" i="6"/>
  <c r="N101" i="6" s="1"/>
  <c r="M103" i="6"/>
  <c r="L103" i="6"/>
  <c r="U102" i="6"/>
  <c r="T102" i="6"/>
  <c r="P102" i="6"/>
  <c r="O102" i="6"/>
  <c r="S101" i="6"/>
  <c r="R101" i="6"/>
  <c r="U101" i="6" s="1"/>
  <c r="Q101" i="6"/>
  <c r="T101" i="6" s="1"/>
  <c r="S100" i="6"/>
  <c r="S97" i="6" s="1"/>
  <c r="R100" i="6"/>
  <c r="R97" i="6" s="1"/>
  <c r="Q100" i="6"/>
  <c r="Q97" i="6" s="1"/>
  <c r="N100" i="6"/>
  <c r="M100" i="6"/>
  <c r="L100" i="6"/>
  <c r="O100" i="6" s="1"/>
  <c r="U99" i="6"/>
  <c r="T99" i="6"/>
  <c r="P99" i="6"/>
  <c r="O99" i="6"/>
  <c r="T96" i="6"/>
  <c r="S96" i="6"/>
  <c r="R96" i="6"/>
  <c r="Q96" i="6"/>
  <c r="N96" i="6"/>
  <c r="M96" i="6"/>
  <c r="P96" i="6" s="1"/>
  <c r="L96" i="6"/>
  <c r="O96" i="6" s="1"/>
  <c r="J94" i="6"/>
  <c r="J93" i="6"/>
  <c r="I91" i="6"/>
  <c r="K91" i="6" s="1"/>
  <c r="I90" i="6"/>
  <c r="K90" i="6" s="1"/>
  <c r="I89" i="6"/>
  <c r="K89" i="6" s="1"/>
  <c r="I88" i="6"/>
  <c r="I87" i="6"/>
  <c r="K87" i="6" s="1"/>
  <c r="I86" i="6"/>
  <c r="K86" i="6" s="1"/>
  <c r="I85" i="6"/>
  <c r="J84" i="6"/>
  <c r="J83" i="6"/>
  <c r="J71" i="6" s="1"/>
  <c r="U81" i="6"/>
  <c r="T81" i="6"/>
  <c r="N81" i="6"/>
  <c r="N79" i="6" s="1"/>
  <c r="M81" i="6"/>
  <c r="L81" i="6"/>
  <c r="O81" i="6" s="1"/>
  <c r="U80" i="6"/>
  <c r="T80" i="6"/>
  <c r="P80" i="6"/>
  <c r="O80" i="6"/>
  <c r="U79" i="6"/>
  <c r="S79" i="6"/>
  <c r="R79" i="6"/>
  <c r="Q79" i="6"/>
  <c r="T79" i="6" s="1"/>
  <c r="S78" i="6"/>
  <c r="S76" i="6" s="1"/>
  <c r="R78" i="6"/>
  <c r="U78" i="6" s="1"/>
  <c r="Q78" i="6"/>
  <c r="T78" i="6" s="1"/>
  <c r="N78" i="6"/>
  <c r="N76" i="6" s="1"/>
  <c r="M78" i="6"/>
  <c r="M76" i="6" s="1"/>
  <c r="P76" i="6" s="1"/>
  <c r="L78" i="6"/>
  <c r="L76" i="6" s="1"/>
  <c r="O76" i="6" s="1"/>
  <c r="U77" i="6"/>
  <c r="T77" i="6"/>
  <c r="P77" i="6"/>
  <c r="O77" i="6"/>
  <c r="T74" i="6"/>
  <c r="S74" i="6"/>
  <c r="R74" i="6"/>
  <c r="U74" i="6" s="1"/>
  <c r="Q74" i="6"/>
  <c r="N74" i="6"/>
  <c r="M74" i="6"/>
  <c r="L74" i="6"/>
  <c r="O74" i="6" s="1"/>
  <c r="J72" i="6"/>
  <c r="U68" i="6"/>
  <c r="T68" i="6"/>
  <c r="N68" i="6"/>
  <c r="N66" i="6" s="1"/>
  <c r="M68" i="6"/>
  <c r="L68" i="6"/>
  <c r="U67" i="6"/>
  <c r="T67" i="6"/>
  <c r="P67" i="6"/>
  <c r="O67" i="6"/>
  <c r="S66" i="6"/>
  <c r="R66" i="6"/>
  <c r="U66" i="6" s="1"/>
  <c r="Q66" i="6"/>
  <c r="T66" i="6" s="1"/>
  <c r="U65" i="6"/>
  <c r="T65" i="6"/>
  <c r="N65" i="6"/>
  <c r="N63" i="6" s="1"/>
  <c r="M65" i="6"/>
  <c r="M63" i="6" s="1"/>
  <c r="L65" i="6"/>
  <c r="L63" i="6" s="1"/>
  <c r="U64" i="6"/>
  <c r="T64" i="6"/>
  <c r="P64" i="6"/>
  <c r="O64" i="6"/>
  <c r="T63" i="6"/>
  <c r="S63" i="6"/>
  <c r="R63" i="6"/>
  <c r="U63" i="6" s="1"/>
  <c r="Q63" i="6"/>
  <c r="U62" i="6"/>
  <c r="T62" i="6"/>
  <c r="S62" i="6"/>
  <c r="R62" i="6"/>
  <c r="Q62" i="6"/>
  <c r="T61" i="6"/>
  <c r="S61" i="6"/>
  <c r="S60" i="6" s="1"/>
  <c r="R61" i="6"/>
  <c r="U61" i="6" s="1"/>
  <c r="Q61" i="6"/>
  <c r="N61" i="6"/>
  <c r="M61" i="6"/>
  <c r="L61" i="6"/>
  <c r="O61" i="6" s="1"/>
  <c r="R60" i="6"/>
  <c r="U60" i="6" s="1"/>
  <c r="Q60" i="6"/>
  <c r="T60" i="6" s="1"/>
  <c r="U53" i="6"/>
  <c r="T53" i="6"/>
  <c r="N53" i="6"/>
  <c r="N51" i="6" s="1"/>
  <c r="M53" i="6"/>
  <c r="L53" i="6"/>
  <c r="U52" i="6"/>
  <c r="T52" i="6"/>
  <c r="P52" i="6"/>
  <c r="O52" i="6"/>
  <c r="U51" i="6"/>
  <c r="T51" i="6"/>
  <c r="S51" i="6"/>
  <c r="R51" i="6"/>
  <c r="Q51" i="6"/>
  <c r="U50" i="6"/>
  <c r="T50" i="6"/>
  <c r="N50" i="6"/>
  <c r="N48" i="6" s="1"/>
  <c r="M50" i="6"/>
  <c r="L50" i="6"/>
  <c r="L48" i="6" s="1"/>
  <c r="U49" i="6"/>
  <c r="T49" i="6"/>
  <c r="P49" i="6"/>
  <c r="O49" i="6"/>
  <c r="S48" i="6"/>
  <c r="R48" i="6"/>
  <c r="U48" i="6" s="1"/>
  <c r="Q48" i="6"/>
  <c r="T48" i="6" s="1"/>
  <c r="U47" i="6"/>
  <c r="T47" i="6"/>
  <c r="S47" i="6"/>
  <c r="R47" i="6"/>
  <c r="Q47" i="6"/>
  <c r="T46" i="6"/>
  <c r="S46" i="6"/>
  <c r="S45" i="6" s="1"/>
  <c r="R46" i="6"/>
  <c r="U46" i="6" s="1"/>
  <c r="Q46" i="6"/>
  <c r="N46" i="6"/>
  <c r="M46" i="6"/>
  <c r="L46" i="6"/>
  <c r="O46" i="6" s="1"/>
  <c r="R45" i="6"/>
  <c r="U45" i="6" s="1"/>
  <c r="Q45" i="6"/>
  <c r="T45" i="6" s="1"/>
  <c r="U27" i="6"/>
  <c r="T27" i="6"/>
  <c r="S27" i="6"/>
  <c r="R27" i="6"/>
  <c r="Q27" i="6"/>
  <c r="S26" i="6"/>
  <c r="S25" i="6" s="1"/>
  <c r="R26" i="6"/>
  <c r="Q26" i="6"/>
  <c r="T26" i="6" s="1"/>
  <c r="N26" i="6"/>
  <c r="M26" i="6"/>
  <c r="L26" i="6"/>
  <c r="Q25" i="6"/>
  <c r="T25" i="6" s="1"/>
  <c r="S23" i="6"/>
  <c r="R23" i="6"/>
  <c r="Q23" i="6"/>
  <c r="T23" i="6" s="1"/>
  <c r="N23" i="6"/>
  <c r="M23" i="6"/>
  <c r="L23" i="6"/>
  <c r="S20" i="6"/>
  <c r="R20" i="6"/>
  <c r="Q20" i="6"/>
  <c r="T20" i="6" s="1"/>
  <c r="N20" i="6"/>
  <c r="M20" i="6"/>
  <c r="L20" i="6"/>
  <c r="A790" i="5"/>
  <c r="A789" i="5"/>
  <c r="J786" i="5"/>
  <c r="I786" i="5"/>
  <c r="J785" i="5"/>
  <c r="I785" i="5"/>
  <c r="J784" i="5"/>
  <c r="I784" i="5"/>
  <c r="K784" i="5" s="1"/>
  <c r="J783" i="5"/>
  <c r="I783" i="5"/>
  <c r="K783" i="5" s="1"/>
  <c r="J782" i="5"/>
  <c r="I782" i="5"/>
  <c r="J781" i="5"/>
  <c r="I781" i="5"/>
  <c r="J780" i="5"/>
  <c r="I780" i="5"/>
  <c r="J779" i="5"/>
  <c r="I779" i="5"/>
  <c r="H778" i="5"/>
  <c r="I777" i="5"/>
  <c r="I776" i="5"/>
  <c r="I775" i="5"/>
  <c r="I760" i="5" s="1"/>
  <c r="K760" i="5" s="1"/>
  <c r="I773" i="5"/>
  <c r="I771" i="5"/>
  <c r="K771" i="5" s="1"/>
  <c r="U769" i="5"/>
  <c r="T769" i="5"/>
  <c r="P769" i="5"/>
  <c r="O769" i="5"/>
  <c r="U768" i="5"/>
  <c r="T768" i="5"/>
  <c r="P768" i="5"/>
  <c r="O768" i="5"/>
  <c r="U767" i="5"/>
  <c r="S767" i="5"/>
  <c r="R767" i="5"/>
  <c r="Q767" i="5"/>
  <c r="T767" i="5" s="1"/>
  <c r="O767" i="5"/>
  <c r="N767" i="5"/>
  <c r="M767" i="5"/>
  <c r="P767" i="5" s="1"/>
  <c r="L767" i="5"/>
  <c r="S766" i="5"/>
  <c r="S764" i="5" s="1"/>
  <c r="R766" i="5"/>
  <c r="Q766" i="5"/>
  <c r="T766" i="5" s="1"/>
  <c r="P766" i="5"/>
  <c r="O766" i="5"/>
  <c r="U765" i="5"/>
  <c r="T765" i="5"/>
  <c r="P765" i="5"/>
  <c r="O765" i="5"/>
  <c r="P764" i="5"/>
  <c r="N764" i="5"/>
  <c r="M764" i="5"/>
  <c r="L764" i="5"/>
  <c r="O764" i="5" s="1"/>
  <c r="P763" i="5"/>
  <c r="N763" i="5"/>
  <c r="M763" i="5"/>
  <c r="L763" i="5"/>
  <c r="T762" i="5"/>
  <c r="S762" i="5"/>
  <c r="R762" i="5"/>
  <c r="U762" i="5" s="1"/>
  <c r="Q762" i="5"/>
  <c r="P762" i="5"/>
  <c r="N762" i="5"/>
  <c r="M762" i="5"/>
  <c r="M761" i="5" s="1"/>
  <c r="P761" i="5" s="1"/>
  <c r="L762" i="5"/>
  <c r="O762" i="5" s="1"/>
  <c r="N761" i="5"/>
  <c r="J760" i="5"/>
  <c r="J759" i="5"/>
  <c r="I756" i="5"/>
  <c r="K756" i="5" s="1"/>
  <c r="I753" i="5"/>
  <c r="K753" i="5" s="1"/>
  <c r="I750" i="5"/>
  <c r="K750" i="5" s="1"/>
  <c r="I747" i="5"/>
  <c r="K747" i="5" s="1"/>
  <c r="I745" i="5"/>
  <c r="K745" i="5" s="1"/>
  <c r="I743" i="5"/>
  <c r="K743" i="5" s="1"/>
  <c r="I741" i="5"/>
  <c r="K741" i="5" s="1"/>
  <c r="U737" i="5"/>
  <c r="T737" i="5"/>
  <c r="P737" i="5"/>
  <c r="O737" i="5"/>
  <c r="U736" i="5"/>
  <c r="T736" i="5"/>
  <c r="P736" i="5"/>
  <c r="O736" i="5"/>
  <c r="T735" i="5"/>
  <c r="S735" i="5"/>
  <c r="R735" i="5"/>
  <c r="U735" i="5" s="1"/>
  <c r="Q735" i="5"/>
  <c r="P735" i="5"/>
  <c r="N735" i="5"/>
  <c r="M735" i="5"/>
  <c r="L735" i="5"/>
  <c r="O735" i="5" s="1"/>
  <c r="S734" i="5"/>
  <c r="S731" i="5" s="1"/>
  <c r="S729" i="5" s="1"/>
  <c r="R734" i="5"/>
  <c r="R732" i="5" s="1"/>
  <c r="Q734" i="5"/>
  <c r="Q732" i="5" s="1"/>
  <c r="P734" i="5"/>
  <c r="O734" i="5"/>
  <c r="U733" i="5"/>
  <c r="T733" i="5"/>
  <c r="P733" i="5"/>
  <c r="O733" i="5"/>
  <c r="O732" i="5"/>
  <c r="N732" i="5"/>
  <c r="M732" i="5"/>
  <c r="P732" i="5" s="1"/>
  <c r="L732" i="5"/>
  <c r="O731" i="5"/>
  <c r="N731" i="5"/>
  <c r="M731" i="5"/>
  <c r="P731" i="5" s="1"/>
  <c r="L731" i="5"/>
  <c r="U730" i="5"/>
  <c r="S730" i="5"/>
  <c r="R730" i="5"/>
  <c r="Q730" i="5"/>
  <c r="T730" i="5" s="1"/>
  <c r="O730" i="5"/>
  <c r="N730" i="5"/>
  <c r="N729" i="5" s="1"/>
  <c r="M730" i="5"/>
  <c r="P730" i="5" s="1"/>
  <c r="L730" i="5"/>
  <c r="L729" i="5" s="1"/>
  <c r="O729" i="5" s="1"/>
  <c r="M729" i="5"/>
  <c r="P729" i="5" s="1"/>
  <c r="J728" i="5"/>
  <c r="I728" i="5"/>
  <c r="J727" i="5"/>
  <c r="I727" i="5"/>
  <c r="K727" i="5" s="1"/>
  <c r="U723" i="5"/>
  <c r="T723" i="5"/>
  <c r="P723" i="5"/>
  <c r="O723" i="5"/>
  <c r="U722" i="5"/>
  <c r="T722" i="5"/>
  <c r="P722" i="5"/>
  <c r="O722" i="5"/>
  <c r="U721" i="5"/>
  <c r="S721" i="5"/>
  <c r="R721" i="5"/>
  <c r="Q721" i="5"/>
  <c r="T721" i="5" s="1"/>
  <c r="O721" i="5"/>
  <c r="N721" i="5"/>
  <c r="M721" i="5"/>
  <c r="P721" i="5" s="1"/>
  <c r="L721" i="5"/>
  <c r="U720" i="5"/>
  <c r="T720" i="5"/>
  <c r="P720" i="5"/>
  <c r="O720" i="5"/>
  <c r="U719" i="5"/>
  <c r="T719" i="5"/>
  <c r="P719" i="5"/>
  <c r="O719" i="5"/>
  <c r="U718" i="5"/>
  <c r="S718" i="5"/>
  <c r="R718" i="5"/>
  <c r="Q718" i="5"/>
  <c r="T718" i="5" s="1"/>
  <c r="O718" i="5"/>
  <c r="N718" i="5"/>
  <c r="M718" i="5"/>
  <c r="P718" i="5" s="1"/>
  <c r="L718" i="5"/>
  <c r="U717" i="5"/>
  <c r="S717" i="5"/>
  <c r="R717" i="5"/>
  <c r="Q717" i="5"/>
  <c r="O717" i="5"/>
  <c r="N717" i="5"/>
  <c r="M717" i="5"/>
  <c r="P717" i="5" s="1"/>
  <c r="L717" i="5"/>
  <c r="U716" i="5"/>
  <c r="S716" i="5"/>
  <c r="R716" i="5"/>
  <c r="R715" i="5" s="1"/>
  <c r="U715" i="5" s="1"/>
  <c r="Q716" i="5"/>
  <c r="T716" i="5" s="1"/>
  <c r="O716" i="5"/>
  <c r="N716" i="5"/>
  <c r="N715" i="5" s="1"/>
  <c r="M716" i="5"/>
  <c r="P716" i="5" s="1"/>
  <c r="L716" i="5"/>
  <c r="L715" i="5" s="1"/>
  <c r="O715" i="5" s="1"/>
  <c r="S715" i="5"/>
  <c r="M715" i="5"/>
  <c r="P715" i="5" s="1"/>
  <c r="K713" i="5"/>
  <c r="J713" i="5"/>
  <c r="K711" i="5"/>
  <c r="J711" i="5"/>
  <c r="J710" i="5"/>
  <c r="I710" i="5"/>
  <c r="K709" i="5"/>
  <c r="J709" i="5"/>
  <c r="J708" i="5"/>
  <c r="J690" i="5" s="1"/>
  <c r="I708" i="5"/>
  <c r="K707" i="5"/>
  <c r="J707" i="5"/>
  <c r="J706" i="5"/>
  <c r="I706" i="5"/>
  <c r="K705" i="5"/>
  <c r="J705" i="5"/>
  <c r="J704" i="5"/>
  <c r="I704" i="5"/>
  <c r="K703" i="5"/>
  <c r="I701" i="5"/>
  <c r="K701" i="5" s="1"/>
  <c r="U699" i="5"/>
  <c r="T699" i="5"/>
  <c r="P699" i="5"/>
  <c r="O699" i="5"/>
  <c r="U698" i="5"/>
  <c r="T698" i="5"/>
  <c r="P698" i="5"/>
  <c r="O698" i="5"/>
  <c r="T697" i="5"/>
  <c r="S697" i="5"/>
  <c r="R697" i="5"/>
  <c r="U697" i="5" s="1"/>
  <c r="Q697" i="5"/>
  <c r="P697" i="5"/>
  <c r="N697" i="5"/>
  <c r="M697" i="5"/>
  <c r="L697" i="5"/>
  <c r="O697" i="5" s="1"/>
  <c r="S696" i="5"/>
  <c r="S693" i="5" s="1"/>
  <c r="S691" i="5" s="1"/>
  <c r="R696" i="5"/>
  <c r="Q696" i="5"/>
  <c r="Q694" i="5" s="1"/>
  <c r="P696" i="5"/>
  <c r="O696" i="5"/>
  <c r="U695" i="5"/>
  <c r="T695" i="5"/>
  <c r="P695" i="5"/>
  <c r="O695" i="5"/>
  <c r="O694" i="5"/>
  <c r="N694" i="5"/>
  <c r="M694" i="5"/>
  <c r="P694" i="5" s="1"/>
  <c r="L694" i="5"/>
  <c r="O693" i="5"/>
  <c r="N693" i="5"/>
  <c r="M693" i="5"/>
  <c r="L693" i="5"/>
  <c r="U692" i="5"/>
  <c r="S692" i="5"/>
  <c r="R692" i="5"/>
  <c r="Q692" i="5"/>
  <c r="O692" i="5"/>
  <c r="N692" i="5"/>
  <c r="N691" i="5" s="1"/>
  <c r="M692" i="5"/>
  <c r="P692" i="5" s="1"/>
  <c r="L692" i="5"/>
  <c r="O691" i="5"/>
  <c r="L691" i="5"/>
  <c r="I690" i="5"/>
  <c r="J683" i="5"/>
  <c r="I683" i="5"/>
  <c r="K683" i="5" s="1"/>
  <c r="J682" i="5"/>
  <c r="I682" i="5"/>
  <c r="K682" i="5" s="1"/>
  <c r="J681" i="5"/>
  <c r="J680" i="5"/>
  <c r="I680" i="5"/>
  <c r="K680" i="5" s="1"/>
  <c r="J679" i="5"/>
  <c r="I679" i="5"/>
  <c r="K679" i="5" s="1"/>
  <c r="J678" i="5"/>
  <c r="J677" i="5"/>
  <c r="I677" i="5"/>
  <c r="K677" i="5" s="1"/>
  <c r="I676" i="5"/>
  <c r="K676" i="5" s="1"/>
  <c r="I675" i="5"/>
  <c r="K675" i="5" s="1"/>
  <c r="J674" i="5"/>
  <c r="I674" i="5"/>
  <c r="K674" i="5" s="1"/>
  <c r="J673" i="5"/>
  <c r="J672" i="5"/>
  <c r="J662" i="5"/>
  <c r="I662" i="5"/>
  <c r="K662" i="5" s="1"/>
  <c r="I661" i="5"/>
  <c r="I658" i="5"/>
  <c r="J655" i="5"/>
  <c r="I655" i="5"/>
  <c r="K655" i="5" s="1"/>
  <c r="J654" i="5"/>
  <c r="I654" i="5"/>
  <c r="K654" i="5" s="1"/>
  <c r="J653" i="5"/>
  <c r="I653" i="5"/>
  <c r="K653" i="5" s="1"/>
  <c r="U651" i="5"/>
  <c r="T651" i="5"/>
  <c r="P651" i="5"/>
  <c r="O651" i="5"/>
  <c r="U650" i="5"/>
  <c r="T650" i="5"/>
  <c r="P650" i="5"/>
  <c r="O650" i="5"/>
  <c r="U649" i="5"/>
  <c r="T649" i="5"/>
  <c r="S649" i="5"/>
  <c r="R649" i="5"/>
  <c r="Q649" i="5"/>
  <c r="P649" i="5"/>
  <c r="O649" i="5"/>
  <c r="N649" i="5"/>
  <c r="M649" i="5"/>
  <c r="L649" i="5"/>
  <c r="S648" i="5"/>
  <c r="S646" i="5" s="1"/>
  <c r="R648" i="5"/>
  <c r="Q648" i="5"/>
  <c r="Q646" i="5" s="1"/>
  <c r="T646" i="5" s="1"/>
  <c r="P648" i="5"/>
  <c r="O648" i="5"/>
  <c r="U647" i="5"/>
  <c r="T647" i="5"/>
  <c r="P647" i="5"/>
  <c r="O647" i="5"/>
  <c r="N646" i="5"/>
  <c r="M646" i="5"/>
  <c r="P646" i="5" s="1"/>
  <c r="L646" i="5"/>
  <c r="O646" i="5" s="1"/>
  <c r="O645" i="5"/>
  <c r="N645" i="5"/>
  <c r="M645" i="5"/>
  <c r="M643" i="5" s="1"/>
  <c r="P643" i="5" s="1"/>
  <c r="L645" i="5"/>
  <c r="U644" i="5"/>
  <c r="S644" i="5"/>
  <c r="R644" i="5"/>
  <c r="Q644" i="5"/>
  <c r="O644" i="5"/>
  <c r="N644" i="5"/>
  <c r="N643" i="5" s="1"/>
  <c r="M644" i="5"/>
  <c r="P644" i="5" s="1"/>
  <c r="L644" i="5"/>
  <c r="O643" i="5"/>
  <c r="L643" i="5"/>
  <c r="J637" i="5"/>
  <c r="J636" i="5"/>
  <c r="I636" i="5"/>
  <c r="K636" i="5" s="1"/>
  <c r="J633" i="5"/>
  <c r="I629" i="5"/>
  <c r="K629" i="5" s="1"/>
  <c r="I628" i="5"/>
  <c r="K628" i="5" s="1"/>
  <c r="J627" i="5"/>
  <c r="I627" i="5"/>
  <c r="K632" i="5" s="1"/>
  <c r="U625" i="5"/>
  <c r="T625" i="5"/>
  <c r="P625" i="5"/>
  <c r="O625" i="5"/>
  <c r="U624" i="5"/>
  <c r="T624" i="5"/>
  <c r="P624" i="5"/>
  <c r="O624" i="5"/>
  <c r="U623" i="5"/>
  <c r="S623" i="5"/>
  <c r="R623" i="5"/>
  <c r="Q623" i="5"/>
  <c r="T623" i="5" s="1"/>
  <c r="O623" i="5"/>
  <c r="N623" i="5"/>
  <c r="M623" i="5"/>
  <c r="P623" i="5" s="1"/>
  <c r="L623" i="5"/>
  <c r="S622" i="5"/>
  <c r="S619" i="5" s="1"/>
  <c r="S617" i="5" s="1"/>
  <c r="R622" i="5"/>
  <c r="R620" i="5" s="1"/>
  <c r="Q622" i="5"/>
  <c r="Q620" i="5" s="1"/>
  <c r="P622" i="5"/>
  <c r="O622" i="5"/>
  <c r="U621" i="5"/>
  <c r="T621" i="5"/>
  <c r="P621" i="5"/>
  <c r="O621" i="5"/>
  <c r="P620" i="5"/>
  <c r="N620" i="5"/>
  <c r="M620" i="5"/>
  <c r="L620" i="5"/>
  <c r="O620" i="5" s="1"/>
  <c r="P619" i="5"/>
  <c r="N619" i="5"/>
  <c r="M619" i="5"/>
  <c r="L619" i="5"/>
  <c r="T618" i="5"/>
  <c r="S618" i="5"/>
  <c r="R618" i="5"/>
  <c r="U618" i="5" s="1"/>
  <c r="Q618" i="5"/>
  <c r="P618" i="5"/>
  <c r="N618" i="5"/>
  <c r="M618" i="5"/>
  <c r="L618" i="5"/>
  <c r="O618" i="5" s="1"/>
  <c r="P617" i="5"/>
  <c r="N617" i="5"/>
  <c r="M617" i="5"/>
  <c r="J616" i="5"/>
  <c r="U608" i="5"/>
  <c r="T608" i="5"/>
  <c r="P608" i="5"/>
  <c r="O608" i="5"/>
  <c r="U607" i="5"/>
  <c r="T607" i="5"/>
  <c r="P607" i="5"/>
  <c r="O607" i="5"/>
  <c r="U606" i="5"/>
  <c r="S606" i="5"/>
  <c r="R606" i="5"/>
  <c r="Q606" i="5"/>
  <c r="T606" i="5" s="1"/>
  <c r="O606" i="5"/>
  <c r="N606" i="5"/>
  <c r="M606" i="5"/>
  <c r="P606" i="5" s="1"/>
  <c r="L606" i="5"/>
  <c r="U605" i="5"/>
  <c r="T605" i="5"/>
  <c r="P605" i="5"/>
  <c r="O605" i="5"/>
  <c r="U604" i="5"/>
  <c r="T604" i="5"/>
  <c r="P604" i="5"/>
  <c r="O604" i="5"/>
  <c r="U603" i="5"/>
  <c r="S603" i="5"/>
  <c r="R603" i="5"/>
  <c r="Q603" i="5"/>
  <c r="T603" i="5" s="1"/>
  <c r="O603" i="5"/>
  <c r="N603" i="5"/>
  <c r="M603" i="5"/>
  <c r="P603" i="5" s="1"/>
  <c r="L603" i="5"/>
  <c r="U602" i="5"/>
  <c r="S602" i="5"/>
  <c r="R602" i="5"/>
  <c r="Q602" i="5"/>
  <c r="T602" i="5" s="1"/>
  <c r="O602" i="5"/>
  <c r="N602" i="5"/>
  <c r="M602" i="5"/>
  <c r="P602" i="5" s="1"/>
  <c r="L602" i="5"/>
  <c r="S601" i="5"/>
  <c r="R601" i="5"/>
  <c r="Q601" i="5"/>
  <c r="N601" i="5"/>
  <c r="N600" i="5" s="1"/>
  <c r="M601" i="5"/>
  <c r="L601" i="5"/>
  <c r="L600" i="5" s="1"/>
  <c r="S600" i="5"/>
  <c r="O600" i="5"/>
  <c r="U585" i="5"/>
  <c r="T585" i="5"/>
  <c r="P585" i="5"/>
  <c r="O585" i="5"/>
  <c r="U584" i="5"/>
  <c r="T584" i="5"/>
  <c r="P584" i="5"/>
  <c r="O584" i="5"/>
  <c r="U583" i="5"/>
  <c r="S583" i="5"/>
  <c r="R583" i="5"/>
  <c r="Q583" i="5"/>
  <c r="T583" i="5" s="1"/>
  <c r="O583" i="5"/>
  <c r="N583" i="5"/>
  <c r="M583" i="5"/>
  <c r="P583" i="5" s="1"/>
  <c r="L583" i="5"/>
  <c r="U582" i="5"/>
  <c r="T582" i="5"/>
  <c r="P582" i="5"/>
  <c r="O582" i="5"/>
  <c r="U581" i="5"/>
  <c r="T581" i="5"/>
  <c r="P581" i="5"/>
  <c r="O581" i="5"/>
  <c r="U580" i="5"/>
  <c r="S580" i="5"/>
  <c r="R580" i="5"/>
  <c r="Q580" i="5"/>
  <c r="T580" i="5" s="1"/>
  <c r="P580" i="5"/>
  <c r="O580" i="5"/>
  <c r="N580" i="5"/>
  <c r="M580" i="5"/>
  <c r="L580" i="5"/>
  <c r="U579" i="5"/>
  <c r="T579" i="5"/>
  <c r="S579" i="5"/>
  <c r="S577" i="5" s="1"/>
  <c r="R579" i="5"/>
  <c r="Q579" i="5"/>
  <c r="O579" i="5"/>
  <c r="N579" i="5"/>
  <c r="M579" i="5"/>
  <c r="P579" i="5" s="1"/>
  <c r="L579" i="5"/>
  <c r="S578" i="5"/>
  <c r="R578" i="5"/>
  <c r="Q578" i="5"/>
  <c r="T578" i="5" s="1"/>
  <c r="O578" i="5"/>
  <c r="N578" i="5"/>
  <c r="N577" i="5" s="1"/>
  <c r="M578" i="5"/>
  <c r="L578" i="5"/>
  <c r="L577" i="5" s="1"/>
  <c r="Q577" i="5"/>
  <c r="T577" i="5" s="1"/>
  <c r="O577" i="5"/>
  <c r="J576" i="5"/>
  <c r="I576" i="5"/>
  <c r="K576" i="5" s="1"/>
  <c r="U564" i="5"/>
  <c r="T564" i="5"/>
  <c r="P564" i="5"/>
  <c r="O564" i="5"/>
  <c r="U563" i="5"/>
  <c r="T563" i="5"/>
  <c r="P563" i="5"/>
  <c r="O563" i="5"/>
  <c r="T562" i="5"/>
  <c r="S562" i="5"/>
  <c r="R562" i="5"/>
  <c r="U562" i="5" s="1"/>
  <c r="Q562" i="5"/>
  <c r="P562" i="5"/>
  <c r="N562" i="5"/>
  <c r="M562" i="5"/>
  <c r="L562" i="5"/>
  <c r="O562" i="5" s="1"/>
  <c r="U561" i="5"/>
  <c r="T561" i="5"/>
  <c r="P561" i="5"/>
  <c r="O561" i="5"/>
  <c r="U560" i="5"/>
  <c r="T560" i="5"/>
  <c r="P560" i="5"/>
  <c r="O560" i="5"/>
  <c r="T559" i="5"/>
  <c r="S559" i="5"/>
  <c r="R559" i="5"/>
  <c r="U559" i="5" s="1"/>
  <c r="Q559" i="5"/>
  <c r="P559" i="5"/>
  <c r="N559" i="5"/>
  <c r="M559" i="5"/>
  <c r="L559" i="5"/>
  <c r="O559" i="5" s="1"/>
  <c r="S558" i="5"/>
  <c r="R558" i="5"/>
  <c r="U558" i="5" s="1"/>
  <c r="Q558" i="5"/>
  <c r="T558" i="5" s="1"/>
  <c r="P558" i="5"/>
  <c r="N558" i="5"/>
  <c r="M558" i="5"/>
  <c r="L558" i="5"/>
  <c r="O558" i="5" s="1"/>
  <c r="T557" i="5"/>
  <c r="S557" i="5"/>
  <c r="R557" i="5"/>
  <c r="U557" i="5" s="1"/>
  <c r="Q557" i="5"/>
  <c r="P557" i="5"/>
  <c r="N557" i="5"/>
  <c r="N556" i="5" s="1"/>
  <c r="M557" i="5"/>
  <c r="L557" i="5"/>
  <c r="L556" i="5" s="1"/>
  <c r="S556" i="5"/>
  <c r="R556" i="5"/>
  <c r="U556" i="5" s="1"/>
  <c r="P556" i="5"/>
  <c r="O556" i="5"/>
  <c r="M556" i="5"/>
  <c r="J555" i="5"/>
  <c r="I555" i="5"/>
  <c r="K555" i="5" s="1"/>
  <c r="U543" i="5"/>
  <c r="T543" i="5"/>
  <c r="P543" i="5"/>
  <c r="O543" i="5"/>
  <c r="U542" i="5"/>
  <c r="T542" i="5"/>
  <c r="P542" i="5"/>
  <c r="O542" i="5"/>
  <c r="S541" i="5"/>
  <c r="R541" i="5"/>
  <c r="U541" i="5" s="1"/>
  <c r="Q541" i="5"/>
  <c r="T541" i="5" s="1"/>
  <c r="O541" i="5"/>
  <c r="N541" i="5"/>
  <c r="M541" i="5"/>
  <c r="P541" i="5" s="1"/>
  <c r="L541" i="5"/>
  <c r="U540" i="5"/>
  <c r="T540" i="5"/>
  <c r="P540" i="5"/>
  <c r="O540" i="5"/>
  <c r="U539" i="5"/>
  <c r="T539" i="5"/>
  <c r="P539" i="5"/>
  <c r="O539" i="5"/>
  <c r="U538" i="5"/>
  <c r="S538" i="5"/>
  <c r="R538" i="5"/>
  <c r="Q538" i="5"/>
  <c r="T538" i="5" s="1"/>
  <c r="P538" i="5"/>
  <c r="N538" i="5"/>
  <c r="M538" i="5"/>
  <c r="L538" i="5"/>
  <c r="O538" i="5" s="1"/>
  <c r="U537" i="5"/>
  <c r="T537" i="5"/>
  <c r="S537" i="5"/>
  <c r="R537" i="5"/>
  <c r="Q537" i="5"/>
  <c r="P537" i="5"/>
  <c r="O537" i="5"/>
  <c r="N537" i="5"/>
  <c r="M537" i="5"/>
  <c r="L537" i="5"/>
  <c r="S536" i="5"/>
  <c r="R536" i="5"/>
  <c r="U536" i="5" s="1"/>
  <c r="Q536" i="5"/>
  <c r="Q535" i="5" s="1"/>
  <c r="T535" i="5" s="1"/>
  <c r="N536" i="5"/>
  <c r="M536" i="5"/>
  <c r="P536" i="5" s="1"/>
  <c r="L536" i="5"/>
  <c r="L535" i="5" s="1"/>
  <c r="O535" i="5" s="1"/>
  <c r="S535" i="5"/>
  <c r="P535" i="5"/>
  <c r="M535" i="5"/>
  <c r="J534" i="5"/>
  <c r="I534" i="5"/>
  <c r="K534" i="5" s="1"/>
  <c r="K525" i="5"/>
  <c r="K524" i="5"/>
  <c r="U522" i="5"/>
  <c r="T522" i="5"/>
  <c r="N522" i="5"/>
  <c r="N520" i="5" s="1"/>
  <c r="M522" i="5"/>
  <c r="P522" i="5" s="1"/>
  <c r="L522" i="5"/>
  <c r="U521" i="5"/>
  <c r="T521" i="5"/>
  <c r="P521" i="5"/>
  <c r="O521" i="5"/>
  <c r="U520" i="5"/>
  <c r="T520" i="5"/>
  <c r="S520" i="5"/>
  <c r="R520" i="5"/>
  <c r="Q520" i="5"/>
  <c r="U519" i="5"/>
  <c r="T519" i="5"/>
  <c r="N519" i="5"/>
  <c r="N517" i="5" s="1"/>
  <c r="M519" i="5"/>
  <c r="L519" i="5"/>
  <c r="U518" i="5"/>
  <c r="T518" i="5"/>
  <c r="P518" i="5"/>
  <c r="O518" i="5"/>
  <c r="U517" i="5"/>
  <c r="S517" i="5"/>
  <c r="R517" i="5"/>
  <c r="Q517" i="5"/>
  <c r="T517" i="5" s="1"/>
  <c r="U516" i="5"/>
  <c r="T516" i="5"/>
  <c r="S516" i="5"/>
  <c r="R516" i="5"/>
  <c r="Q516" i="5"/>
  <c r="S515" i="5"/>
  <c r="R515" i="5"/>
  <c r="U515" i="5" s="1"/>
  <c r="Q515" i="5"/>
  <c r="T515" i="5" s="1"/>
  <c r="P515" i="5"/>
  <c r="N515" i="5"/>
  <c r="M515" i="5"/>
  <c r="L515" i="5"/>
  <c r="O515" i="5" s="1"/>
  <c r="Q514" i="5"/>
  <c r="T514" i="5" s="1"/>
  <c r="K513" i="5"/>
  <c r="J513" i="5"/>
  <c r="I513" i="5"/>
  <c r="I510" i="5"/>
  <c r="K510" i="5" s="1"/>
  <c r="K509" i="5"/>
  <c r="I508" i="5"/>
  <c r="K508" i="5" s="1"/>
  <c r="I507" i="5"/>
  <c r="K507" i="5" s="1"/>
  <c r="I506" i="5"/>
  <c r="K506" i="5" s="1"/>
  <c r="I505" i="5"/>
  <c r="K505" i="5" s="1"/>
  <c r="I504" i="5"/>
  <c r="I493" i="5" s="1"/>
  <c r="K493" i="5" s="1"/>
  <c r="U502" i="5"/>
  <c r="T502" i="5"/>
  <c r="P502" i="5"/>
  <c r="O502" i="5"/>
  <c r="U501" i="5"/>
  <c r="T501" i="5"/>
  <c r="P501" i="5"/>
  <c r="O501" i="5"/>
  <c r="U500" i="5"/>
  <c r="S500" i="5"/>
  <c r="R500" i="5"/>
  <c r="Q500" i="5"/>
  <c r="T500" i="5" s="1"/>
  <c r="P500" i="5"/>
  <c r="O500" i="5"/>
  <c r="N500" i="5"/>
  <c r="M500" i="5"/>
  <c r="L500" i="5"/>
  <c r="S499" i="5"/>
  <c r="S496" i="5" s="1"/>
  <c r="S494" i="5" s="1"/>
  <c r="R499" i="5"/>
  <c r="R497" i="5" s="1"/>
  <c r="U497" i="5" s="1"/>
  <c r="Q499" i="5"/>
  <c r="T499" i="5" s="1"/>
  <c r="P499" i="5"/>
  <c r="O499" i="5"/>
  <c r="U498" i="5"/>
  <c r="T498" i="5"/>
  <c r="P498" i="5"/>
  <c r="O498" i="5"/>
  <c r="P497" i="5"/>
  <c r="N497" i="5"/>
  <c r="M497" i="5"/>
  <c r="L497" i="5"/>
  <c r="O497" i="5" s="1"/>
  <c r="P496" i="5"/>
  <c r="O496" i="5"/>
  <c r="N496" i="5"/>
  <c r="M496" i="5"/>
  <c r="L496" i="5"/>
  <c r="T495" i="5"/>
  <c r="S495" i="5"/>
  <c r="R495" i="5"/>
  <c r="Q495" i="5"/>
  <c r="N495" i="5"/>
  <c r="M495" i="5"/>
  <c r="P495" i="5" s="1"/>
  <c r="L495" i="5"/>
  <c r="O495" i="5" s="1"/>
  <c r="N494" i="5"/>
  <c r="L494" i="5"/>
  <c r="O494" i="5" s="1"/>
  <c r="J486" i="5"/>
  <c r="I486" i="5"/>
  <c r="K486" i="5" s="1"/>
  <c r="K485" i="5"/>
  <c r="J485" i="5"/>
  <c r="I485" i="5"/>
  <c r="J484" i="5"/>
  <c r="J483" i="5"/>
  <c r="K478" i="5"/>
  <c r="J478" i="5"/>
  <c r="K477" i="5"/>
  <c r="J477" i="5"/>
  <c r="K476" i="5"/>
  <c r="J476" i="5"/>
  <c r="J469" i="5"/>
  <c r="J468" i="5"/>
  <c r="J461" i="5"/>
  <c r="J460" i="5"/>
  <c r="I459" i="5"/>
  <c r="K459" i="5" s="1"/>
  <c r="J458" i="5"/>
  <c r="J457" i="5" s="1"/>
  <c r="I458" i="5"/>
  <c r="K458" i="5" s="1"/>
  <c r="J448" i="5"/>
  <c r="J447" i="5"/>
  <c r="J442" i="5"/>
  <c r="I442" i="5"/>
  <c r="K442" i="5" s="1"/>
  <c r="J441" i="5"/>
  <c r="J424" i="5" s="1"/>
  <c r="J413" i="5" s="1"/>
  <c r="I441" i="5"/>
  <c r="J434" i="5"/>
  <c r="I434" i="5"/>
  <c r="K434" i="5" s="1"/>
  <c r="J433" i="5"/>
  <c r="I433" i="5"/>
  <c r="K433" i="5" s="1"/>
  <c r="J426" i="5"/>
  <c r="I426" i="5"/>
  <c r="K426" i="5" s="1"/>
  <c r="J425" i="5"/>
  <c r="I425" i="5"/>
  <c r="K425" i="5" s="1"/>
  <c r="U422" i="5"/>
  <c r="T422" i="5"/>
  <c r="P422" i="5"/>
  <c r="O422" i="5"/>
  <c r="U421" i="5"/>
  <c r="T421" i="5"/>
  <c r="P421" i="5"/>
  <c r="O421" i="5"/>
  <c r="S420" i="5"/>
  <c r="R420" i="5"/>
  <c r="U420" i="5" s="1"/>
  <c r="Q420" i="5"/>
  <c r="T420" i="5" s="1"/>
  <c r="P420" i="5"/>
  <c r="N420" i="5"/>
  <c r="M420" i="5"/>
  <c r="L420" i="5"/>
  <c r="O420" i="5" s="1"/>
  <c r="S419" i="5"/>
  <c r="S417" i="5" s="1"/>
  <c r="R419" i="5"/>
  <c r="R416" i="5" s="1"/>
  <c r="U416" i="5" s="1"/>
  <c r="Q419" i="5"/>
  <c r="P419" i="5"/>
  <c r="O419" i="5"/>
  <c r="U418" i="5"/>
  <c r="T418" i="5"/>
  <c r="P418" i="5"/>
  <c r="O418" i="5"/>
  <c r="P417" i="5"/>
  <c r="O417" i="5"/>
  <c r="N417" i="5"/>
  <c r="M417" i="5"/>
  <c r="L417" i="5"/>
  <c r="N416" i="5"/>
  <c r="N414" i="5" s="1"/>
  <c r="M416" i="5"/>
  <c r="P416" i="5" s="1"/>
  <c r="L416" i="5"/>
  <c r="O416" i="5" s="1"/>
  <c r="T415" i="5"/>
  <c r="S415" i="5"/>
  <c r="R415" i="5"/>
  <c r="Q415" i="5"/>
  <c r="P415" i="5"/>
  <c r="N415" i="5"/>
  <c r="M415" i="5"/>
  <c r="L415" i="5"/>
  <c r="M414" i="5"/>
  <c r="P414" i="5" s="1"/>
  <c r="U401" i="5"/>
  <c r="T401" i="5"/>
  <c r="P401" i="5"/>
  <c r="O401" i="5"/>
  <c r="U400" i="5"/>
  <c r="T400" i="5"/>
  <c r="P400" i="5"/>
  <c r="O400" i="5"/>
  <c r="S399" i="5"/>
  <c r="R399" i="5"/>
  <c r="U399" i="5" s="1"/>
  <c r="Q399" i="5"/>
  <c r="T399" i="5" s="1"/>
  <c r="O399" i="5"/>
  <c r="N399" i="5"/>
  <c r="M399" i="5"/>
  <c r="P399" i="5" s="1"/>
  <c r="L399" i="5"/>
  <c r="U398" i="5"/>
  <c r="T398" i="5"/>
  <c r="P398" i="5"/>
  <c r="O398" i="5"/>
  <c r="U397" i="5"/>
  <c r="T397" i="5"/>
  <c r="P397" i="5"/>
  <c r="O397" i="5"/>
  <c r="U396" i="5"/>
  <c r="S396" i="5"/>
  <c r="R396" i="5"/>
  <c r="Q396" i="5"/>
  <c r="T396" i="5" s="1"/>
  <c r="O396" i="5"/>
  <c r="N396" i="5"/>
  <c r="M396" i="5"/>
  <c r="P396" i="5" s="1"/>
  <c r="L396" i="5"/>
  <c r="U395" i="5"/>
  <c r="S395" i="5"/>
  <c r="R395" i="5"/>
  <c r="Q395" i="5"/>
  <c r="T395" i="5" s="1"/>
  <c r="P395" i="5"/>
  <c r="O395" i="5"/>
  <c r="N395" i="5"/>
  <c r="M395" i="5"/>
  <c r="L395" i="5"/>
  <c r="U394" i="5"/>
  <c r="T394" i="5"/>
  <c r="S394" i="5"/>
  <c r="R394" i="5"/>
  <c r="Q394" i="5"/>
  <c r="O394" i="5"/>
  <c r="N394" i="5"/>
  <c r="N393" i="5" s="1"/>
  <c r="M394" i="5"/>
  <c r="L394" i="5"/>
  <c r="S393" i="5"/>
  <c r="R393" i="5"/>
  <c r="U393" i="5" s="1"/>
  <c r="Q393" i="5"/>
  <c r="T393" i="5" s="1"/>
  <c r="O393" i="5"/>
  <c r="L393" i="5"/>
  <c r="K392" i="5"/>
  <c r="J392" i="5"/>
  <c r="I392" i="5"/>
  <c r="J389" i="5"/>
  <c r="I389" i="5"/>
  <c r="K389" i="5" s="1"/>
  <c r="K388" i="5"/>
  <c r="J388" i="5"/>
  <c r="J387" i="5"/>
  <c r="I387" i="5"/>
  <c r="K386" i="5"/>
  <c r="J386" i="5"/>
  <c r="U384" i="5"/>
  <c r="T384" i="5"/>
  <c r="P384" i="5"/>
  <c r="O384" i="5"/>
  <c r="U383" i="5"/>
  <c r="T383" i="5"/>
  <c r="P383" i="5"/>
  <c r="O383" i="5"/>
  <c r="S382" i="5"/>
  <c r="R382" i="5"/>
  <c r="U382" i="5" s="1"/>
  <c r="Q382" i="5"/>
  <c r="T382" i="5" s="1"/>
  <c r="P382" i="5"/>
  <c r="N382" i="5"/>
  <c r="M382" i="5"/>
  <c r="L382" i="5"/>
  <c r="O382" i="5" s="1"/>
  <c r="S381" i="5"/>
  <c r="S379" i="5" s="1"/>
  <c r="R381" i="5"/>
  <c r="R379" i="5" s="1"/>
  <c r="U379" i="5" s="1"/>
  <c r="Q381" i="5"/>
  <c r="Q379" i="5" s="1"/>
  <c r="P381" i="5"/>
  <c r="O381" i="5"/>
  <c r="U380" i="5"/>
  <c r="T380" i="5"/>
  <c r="P380" i="5"/>
  <c r="O380" i="5"/>
  <c r="P379" i="5"/>
  <c r="O379" i="5"/>
  <c r="N379" i="5"/>
  <c r="M379" i="5"/>
  <c r="L379" i="5"/>
  <c r="O378" i="5"/>
  <c r="N378" i="5"/>
  <c r="M378" i="5"/>
  <c r="P378" i="5" s="1"/>
  <c r="L378" i="5"/>
  <c r="U377" i="5"/>
  <c r="S377" i="5"/>
  <c r="R377" i="5"/>
  <c r="Q377" i="5"/>
  <c r="T377" i="5" s="1"/>
  <c r="P377" i="5"/>
  <c r="N377" i="5"/>
  <c r="M377" i="5"/>
  <c r="L377" i="5"/>
  <c r="L376" i="5" s="1"/>
  <c r="O376" i="5"/>
  <c r="N376" i="5"/>
  <c r="M376" i="5"/>
  <c r="P376" i="5" s="1"/>
  <c r="D374" i="5"/>
  <c r="K373" i="5"/>
  <c r="J373" i="5"/>
  <c r="J372" i="5"/>
  <c r="J366" i="5" s="1"/>
  <c r="I372" i="5"/>
  <c r="I366" i="5" s="1"/>
  <c r="K371" i="5"/>
  <c r="J371" i="5"/>
  <c r="J370" i="5"/>
  <c r="I370" i="5"/>
  <c r="J369" i="5"/>
  <c r="I369" i="5"/>
  <c r="K368" i="5"/>
  <c r="J368" i="5"/>
  <c r="U365" i="5"/>
  <c r="T365" i="5"/>
  <c r="N365" i="5"/>
  <c r="M365" i="5"/>
  <c r="M363" i="5" s="1"/>
  <c r="P363" i="5" s="1"/>
  <c r="L365" i="5"/>
  <c r="L363" i="5" s="1"/>
  <c r="O363" i="5" s="1"/>
  <c r="U364" i="5"/>
  <c r="T364" i="5"/>
  <c r="P364" i="5"/>
  <c r="O364" i="5"/>
  <c r="T363" i="5"/>
  <c r="S363" i="5"/>
  <c r="R363" i="5"/>
  <c r="U363" i="5" s="1"/>
  <c r="Q363" i="5"/>
  <c r="U362" i="5"/>
  <c r="T362" i="5"/>
  <c r="N362" i="5"/>
  <c r="N360" i="5" s="1"/>
  <c r="M362" i="5"/>
  <c r="L362" i="5"/>
  <c r="U361" i="5"/>
  <c r="T361" i="5"/>
  <c r="P361" i="5"/>
  <c r="O361" i="5"/>
  <c r="T360" i="5"/>
  <c r="S360" i="5"/>
  <c r="R360" i="5"/>
  <c r="U360" i="5" s="1"/>
  <c r="Q360" i="5"/>
  <c r="U359" i="5"/>
  <c r="S359" i="5"/>
  <c r="R359" i="5"/>
  <c r="R357" i="5" s="1"/>
  <c r="U357" i="5" s="1"/>
  <c r="Q359" i="5"/>
  <c r="T359" i="5" s="1"/>
  <c r="U358" i="5"/>
  <c r="S358" i="5"/>
  <c r="R358" i="5"/>
  <c r="Q358" i="5"/>
  <c r="O358" i="5"/>
  <c r="N358" i="5"/>
  <c r="M358" i="5"/>
  <c r="P358" i="5" s="1"/>
  <c r="L358" i="5"/>
  <c r="S357" i="5"/>
  <c r="D355" i="5"/>
  <c r="J354" i="5"/>
  <c r="J353" i="5"/>
  <c r="D351" i="5"/>
  <c r="J350" i="5"/>
  <c r="J349" i="5"/>
  <c r="J348" i="5"/>
  <c r="J347" i="5"/>
  <c r="I347" i="5"/>
  <c r="J345" i="5"/>
  <c r="I345" i="5"/>
  <c r="U342" i="5"/>
  <c r="T342" i="5"/>
  <c r="N342" i="5"/>
  <c r="N340" i="5" s="1"/>
  <c r="M342" i="5"/>
  <c r="M340" i="5" s="1"/>
  <c r="P340" i="5" s="1"/>
  <c r="L342" i="5"/>
  <c r="U341" i="5"/>
  <c r="T341" i="5"/>
  <c r="P341" i="5"/>
  <c r="O341" i="5"/>
  <c r="T340" i="5"/>
  <c r="S340" i="5"/>
  <c r="R340" i="5"/>
  <c r="U340" i="5" s="1"/>
  <c r="Q340" i="5"/>
  <c r="U339" i="5"/>
  <c r="T339" i="5"/>
  <c r="N339" i="5"/>
  <c r="M339" i="5"/>
  <c r="M337" i="5" s="1"/>
  <c r="L339" i="5"/>
  <c r="U338" i="5"/>
  <c r="T338" i="5"/>
  <c r="P338" i="5"/>
  <c r="O338" i="5"/>
  <c r="T337" i="5"/>
  <c r="S337" i="5"/>
  <c r="R337" i="5"/>
  <c r="U337" i="5" s="1"/>
  <c r="Q337" i="5"/>
  <c r="U336" i="5"/>
  <c r="T336" i="5"/>
  <c r="S336" i="5"/>
  <c r="R336" i="5"/>
  <c r="Q336" i="5"/>
  <c r="T335" i="5"/>
  <c r="S335" i="5"/>
  <c r="R335" i="5"/>
  <c r="U335" i="5" s="1"/>
  <c r="Q335" i="5"/>
  <c r="P335" i="5"/>
  <c r="N335" i="5"/>
  <c r="M335" i="5"/>
  <c r="L335" i="5"/>
  <c r="O335" i="5" s="1"/>
  <c r="R334" i="5"/>
  <c r="U334" i="5" s="1"/>
  <c r="Q334" i="5"/>
  <c r="T334" i="5" s="1"/>
  <c r="I331" i="5"/>
  <c r="I320" i="5" s="1"/>
  <c r="K320" i="5" s="1"/>
  <c r="U329" i="5"/>
  <c r="T329" i="5"/>
  <c r="N329" i="5"/>
  <c r="N327" i="5" s="1"/>
  <c r="M329" i="5"/>
  <c r="P329" i="5" s="1"/>
  <c r="L329" i="5"/>
  <c r="O329" i="5" s="1"/>
  <c r="U328" i="5"/>
  <c r="T328" i="5"/>
  <c r="P328" i="5"/>
  <c r="O328" i="5"/>
  <c r="T327" i="5"/>
  <c r="S327" i="5"/>
  <c r="R327" i="5"/>
  <c r="U327" i="5" s="1"/>
  <c r="Q327" i="5"/>
  <c r="U326" i="5"/>
  <c r="T326" i="5"/>
  <c r="N326" i="5"/>
  <c r="M326" i="5"/>
  <c r="P326" i="5" s="1"/>
  <c r="L326" i="5"/>
  <c r="L324" i="5" s="1"/>
  <c r="O324" i="5" s="1"/>
  <c r="U325" i="5"/>
  <c r="T325" i="5"/>
  <c r="P325" i="5"/>
  <c r="O325" i="5"/>
  <c r="U324" i="5"/>
  <c r="S324" i="5"/>
  <c r="R324" i="5"/>
  <c r="Q324" i="5"/>
  <c r="T324" i="5" s="1"/>
  <c r="T323" i="5"/>
  <c r="S323" i="5"/>
  <c r="R323" i="5"/>
  <c r="U323" i="5" s="1"/>
  <c r="Q323" i="5"/>
  <c r="S322" i="5"/>
  <c r="R322" i="5"/>
  <c r="Q322" i="5"/>
  <c r="T322" i="5" s="1"/>
  <c r="P322" i="5"/>
  <c r="N322" i="5"/>
  <c r="M322" i="5"/>
  <c r="L322" i="5"/>
  <c r="T321" i="5"/>
  <c r="S321" i="5"/>
  <c r="Q321" i="5"/>
  <c r="J320" i="5"/>
  <c r="I315" i="5"/>
  <c r="K315" i="5" s="1"/>
  <c r="U312" i="5"/>
  <c r="T312" i="5"/>
  <c r="N312" i="5"/>
  <c r="M312" i="5"/>
  <c r="P312" i="5" s="1"/>
  <c r="L312" i="5"/>
  <c r="L310" i="5" s="1"/>
  <c r="O310" i="5" s="1"/>
  <c r="U311" i="5"/>
  <c r="T311" i="5"/>
  <c r="P311" i="5"/>
  <c r="O311" i="5"/>
  <c r="S310" i="5"/>
  <c r="R310" i="5"/>
  <c r="U310" i="5" s="1"/>
  <c r="Q310" i="5"/>
  <c r="T310" i="5" s="1"/>
  <c r="S309" i="5"/>
  <c r="S307" i="5" s="1"/>
  <c r="R309" i="5"/>
  <c r="R306" i="5" s="1"/>
  <c r="Q309" i="5"/>
  <c r="Q306" i="5" s="1"/>
  <c r="N309" i="5"/>
  <c r="N307" i="5" s="1"/>
  <c r="M309" i="5"/>
  <c r="P309" i="5" s="1"/>
  <c r="L309" i="5"/>
  <c r="U308" i="5"/>
  <c r="T308" i="5"/>
  <c r="P308" i="5"/>
  <c r="O308" i="5"/>
  <c r="T305" i="5"/>
  <c r="S305" i="5"/>
  <c r="R305" i="5"/>
  <c r="Q305" i="5"/>
  <c r="O305" i="5"/>
  <c r="N305" i="5"/>
  <c r="M305" i="5"/>
  <c r="L305" i="5"/>
  <c r="J303" i="5"/>
  <c r="I297" i="5"/>
  <c r="K297" i="5" s="1"/>
  <c r="I296" i="5"/>
  <c r="K296" i="5" s="1"/>
  <c r="J294" i="5"/>
  <c r="I294" i="5"/>
  <c r="I281" i="5" s="1"/>
  <c r="K281" i="5" s="1"/>
  <c r="I293" i="5"/>
  <c r="U291" i="5"/>
  <c r="T291" i="5"/>
  <c r="N291" i="5"/>
  <c r="N289" i="5" s="1"/>
  <c r="M291" i="5"/>
  <c r="P291" i="5" s="1"/>
  <c r="L291" i="5"/>
  <c r="L289" i="5" s="1"/>
  <c r="O289" i="5" s="1"/>
  <c r="U290" i="5"/>
  <c r="T290" i="5"/>
  <c r="P290" i="5"/>
  <c r="O290" i="5"/>
  <c r="T289" i="5"/>
  <c r="S289" i="5"/>
  <c r="R289" i="5"/>
  <c r="U289" i="5" s="1"/>
  <c r="Q289" i="5"/>
  <c r="U288" i="5"/>
  <c r="T288" i="5"/>
  <c r="N288" i="5"/>
  <c r="N286" i="5" s="1"/>
  <c r="M288" i="5"/>
  <c r="P288" i="5" s="1"/>
  <c r="L288" i="5"/>
  <c r="O288" i="5" s="1"/>
  <c r="U287" i="5"/>
  <c r="T287" i="5"/>
  <c r="P287" i="5"/>
  <c r="O287" i="5"/>
  <c r="S286" i="5"/>
  <c r="R286" i="5"/>
  <c r="U286" i="5" s="1"/>
  <c r="Q286" i="5"/>
  <c r="T286" i="5" s="1"/>
  <c r="U285" i="5"/>
  <c r="S285" i="5"/>
  <c r="S283" i="5" s="1"/>
  <c r="R285" i="5"/>
  <c r="Q285" i="5"/>
  <c r="T285" i="5" s="1"/>
  <c r="T284" i="5"/>
  <c r="S284" i="5"/>
  <c r="R284" i="5"/>
  <c r="Q284" i="5"/>
  <c r="O284" i="5"/>
  <c r="N284" i="5"/>
  <c r="M284" i="5"/>
  <c r="P284" i="5" s="1"/>
  <c r="L284" i="5"/>
  <c r="J282" i="5"/>
  <c r="J281" i="5"/>
  <c r="I277" i="5"/>
  <c r="K277" i="5" s="1"/>
  <c r="U275" i="5"/>
  <c r="T275" i="5"/>
  <c r="N275" i="5"/>
  <c r="N273" i="5" s="1"/>
  <c r="M275" i="5"/>
  <c r="M273" i="5" s="1"/>
  <c r="P273" i="5" s="1"/>
  <c r="L275" i="5"/>
  <c r="L273" i="5" s="1"/>
  <c r="O273" i="5" s="1"/>
  <c r="U274" i="5"/>
  <c r="T274" i="5"/>
  <c r="P274" i="5"/>
  <c r="O274" i="5"/>
  <c r="U273" i="5"/>
  <c r="S273" i="5"/>
  <c r="R273" i="5"/>
  <c r="Q273" i="5"/>
  <c r="T273" i="5" s="1"/>
  <c r="S272" i="5"/>
  <c r="S270" i="5" s="1"/>
  <c r="R272" i="5"/>
  <c r="R270" i="5" s="1"/>
  <c r="Q272" i="5"/>
  <c r="N272" i="5"/>
  <c r="M272" i="5"/>
  <c r="M270" i="5" s="1"/>
  <c r="L272" i="5"/>
  <c r="L270" i="5" s="1"/>
  <c r="O270" i="5" s="1"/>
  <c r="U271" i="5"/>
  <c r="T271" i="5"/>
  <c r="P271" i="5"/>
  <c r="O271" i="5"/>
  <c r="U268" i="5"/>
  <c r="S268" i="5"/>
  <c r="R268" i="5"/>
  <c r="Q268" i="5"/>
  <c r="T268" i="5" s="1"/>
  <c r="O268" i="5"/>
  <c r="N268" i="5"/>
  <c r="M268" i="5"/>
  <c r="L268" i="5"/>
  <c r="J266" i="5"/>
  <c r="K264" i="5"/>
  <c r="K263" i="5"/>
  <c r="I261" i="5"/>
  <c r="L259" i="5"/>
  <c r="L258" i="5"/>
  <c r="L257" i="5"/>
  <c r="L256" i="5"/>
  <c r="P255" i="5"/>
  <c r="N255" i="5"/>
  <c r="J254" i="5"/>
  <c r="I253" i="5"/>
  <c r="K253" i="5" s="1"/>
  <c r="I252" i="5"/>
  <c r="I241" i="5" s="1"/>
  <c r="I250" i="5"/>
  <c r="K250" i="5" s="1"/>
  <c r="L248" i="5"/>
  <c r="N247" i="5"/>
  <c r="L247" i="5"/>
  <c r="N246" i="5"/>
  <c r="L246" i="5"/>
  <c r="L235" i="5" s="1"/>
  <c r="N245" i="5"/>
  <c r="L245" i="5"/>
  <c r="P244" i="5"/>
  <c r="N244" i="5"/>
  <c r="N233" i="5" s="1"/>
  <c r="J243" i="5"/>
  <c r="J232" i="5" s="1"/>
  <c r="J186" i="5" s="1"/>
  <c r="J242" i="5"/>
  <c r="J241" i="5"/>
  <c r="J239" i="5"/>
  <c r="N237" i="5"/>
  <c r="N236" i="5"/>
  <c r="N235" i="5"/>
  <c r="N234" i="5"/>
  <c r="I231" i="5"/>
  <c r="K231" i="5" s="1"/>
  <c r="I230" i="5"/>
  <c r="K230" i="5" s="1"/>
  <c r="I229" i="5"/>
  <c r="K229" i="5" s="1"/>
  <c r="L226" i="5"/>
  <c r="L225" i="5"/>
  <c r="L224" i="5"/>
  <c r="P223" i="5"/>
  <c r="N223" i="5"/>
  <c r="J222" i="5"/>
  <c r="I221" i="5"/>
  <c r="I214" i="5" s="1"/>
  <c r="I220" i="5"/>
  <c r="K220" i="5" s="1"/>
  <c r="L218" i="5"/>
  <c r="L217" i="5"/>
  <c r="L216" i="5"/>
  <c r="P215" i="5"/>
  <c r="N215" i="5"/>
  <c r="J214" i="5"/>
  <c r="I213" i="5"/>
  <c r="K213" i="5" s="1"/>
  <c r="I212" i="5"/>
  <c r="K212" i="5" s="1"/>
  <c r="I210" i="5"/>
  <c r="I203" i="5" s="1"/>
  <c r="K203" i="5" s="1"/>
  <c r="L208" i="5"/>
  <c r="L207" i="5"/>
  <c r="L206" i="5"/>
  <c r="L205" i="5"/>
  <c r="P204" i="5"/>
  <c r="N204" i="5"/>
  <c r="J203" i="5"/>
  <c r="J201" i="5"/>
  <c r="J200" i="5"/>
  <c r="I199" i="5"/>
  <c r="K199" i="5" s="1"/>
  <c r="P197" i="5"/>
  <c r="L197" i="5"/>
  <c r="O197" i="5" s="1"/>
  <c r="J196" i="5"/>
  <c r="U195" i="5"/>
  <c r="T195" i="5"/>
  <c r="N195" i="5"/>
  <c r="N193" i="5" s="1"/>
  <c r="M195" i="5"/>
  <c r="M193" i="5" s="1"/>
  <c r="P193" i="5" s="1"/>
  <c r="L195" i="5"/>
  <c r="L193" i="5" s="1"/>
  <c r="O193" i="5" s="1"/>
  <c r="U194" i="5"/>
  <c r="T194" i="5"/>
  <c r="P194" i="5"/>
  <c r="O194" i="5"/>
  <c r="U193" i="5"/>
  <c r="S193" i="5"/>
  <c r="R193" i="5"/>
  <c r="Q193" i="5"/>
  <c r="T193" i="5" s="1"/>
  <c r="S192" i="5"/>
  <c r="S190" i="5" s="1"/>
  <c r="R192" i="5"/>
  <c r="R190" i="5" s="1"/>
  <c r="Q192" i="5"/>
  <c r="Q189" i="5" s="1"/>
  <c r="N192" i="5"/>
  <c r="M192" i="5"/>
  <c r="L192" i="5"/>
  <c r="L190" i="5" s="1"/>
  <c r="U191" i="5"/>
  <c r="T191" i="5"/>
  <c r="P191" i="5"/>
  <c r="O191" i="5"/>
  <c r="U188" i="5"/>
  <c r="S188" i="5"/>
  <c r="R188" i="5"/>
  <c r="Q188" i="5"/>
  <c r="T188" i="5" s="1"/>
  <c r="O188" i="5"/>
  <c r="N188" i="5"/>
  <c r="M188" i="5"/>
  <c r="L188" i="5"/>
  <c r="K185" i="5"/>
  <c r="I184" i="5"/>
  <c r="K184" i="5" s="1"/>
  <c r="U182" i="5"/>
  <c r="T182" i="5"/>
  <c r="N182" i="5"/>
  <c r="N180" i="5" s="1"/>
  <c r="M182" i="5"/>
  <c r="P182" i="5" s="1"/>
  <c r="L182" i="5"/>
  <c r="U181" i="5"/>
  <c r="T181" i="5"/>
  <c r="P181" i="5"/>
  <c r="O181" i="5"/>
  <c r="T180" i="5"/>
  <c r="S180" i="5"/>
  <c r="R180" i="5"/>
  <c r="U180" i="5" s="1"/>
  <c r="Q180" i="5"/>
  <c r="S179" i="5"/>
  <c r="S177" i="5" s="1"/>
  <c r="R179" i="5"/>
  <c r="U179" i="5" s="1"/>
  <c r="Q179" i="5"/>
  <c r="T179" i="5" s="1"/>
  <c r="N179" i="5"/>
  <c r="M179" i="5"/>
  <c r="L179" i="5"/>
  <c r="U178" i="5"/>
  <c r="T178" i="5"/>
  <c r="P178" i="5"/>
  <c r="O178" i="5"/>
  <c r="T175" i="5"/>
  <c r="S175" i="5"/>
  <c r="R175" i="5"/>
  <c r="Q175" i="5"/>
  <c r="N175" i="5"/>
  <c r="M175" i="5"/>
  <c r="L175" i="5"/>
  <c r="O175" i="5" s="1"/>
  <c r="J173" i="5"/>
  <c r="I170" i="5"/>
  <c r="I157" i="5" s="1"/>
  <c r="K157" i="5" s="1"/>
  <c r="I169" i="5"/>
  <c r="K169" i="5" s="1"/>
  <c r="I168" i="5"/>
  <c r="K168" i="5" s="1"/>
  <c r="U166" i="5"/>
  <c r="T166" i="5"/>
  <c r="N166" i="5"/>
  <c r="N164" i="5" s="1"/>
  <c r="M166" i="5"/>
  <c r="P166" i="5" s="1"/>
  <c r="L166" i="5"/>
  <c r="O166" i="5" s="1"/>
  <c r="U165" i="5"/>
  <c r="T165" i="5"/>
  <c r="P165" i="5"/>
  <c r="O165" i="5"/>
  <c r="T164" i="5"/>
  <c r="S164" i="5"/>
  <c r="R164" i="5"/>
  <c r="U164" i="5" s="1"/>
  <c r="Q164" i="5"/>
  <c r="S163" i="5"/>
  <c r="S161" i="5" s="1"/>
  <c r="R163" i="5"/>
  <c r="R160" i="5" s="1"/>
  <c r="Q163" i="5"/>
  <c r="N163" i="5"/>
  <c r="N161" i="5" s="1"/>
  <c r="M163" i="5"/>
  <c r="M161" i="5" s="1"/>
  <c r="P161" i="5" s="1"/>
  <c r="L163" i="5"/>
  <c r="L161" i="5" s="1"/>
  <c r="O161" i="5" s="1"/>
  <c r="U162" i="5"/>
  <c r="T162" i="5"/>
  <c r="P162" i="5"/>
  <c r="O162" i="5"/>
  <c r="T159" i="5"/>
  <c r="S159" i="5"/>
  <c r="R159" i="5"/>
  <c r="U159" i="5" s="1"/>
  <c r="Q159" i="5"/>
  <c r="N159" i="5"/>
  <c r="M159" i="5"/>
  <c r="L159" i="5"/>
  <c r="O159" i="5" s="1"/>
  <c r="J157" i="5"/>
  <c r="I155" i="5"/>
  <c r="I154" i="5"/>
  <c r="I139" i="5" s="1"/>
  <c r="K139" i="5" s="1"/>
  <c r="I153" i="5"/>
  <c r="K153" i="5" s="1"/>
  <c r="I152" i="5"/>
  <c r="K152" i="5" s="1"/>
  <c r="I151" i="5"/>
  <c r="K151" i="5" s="1"/>
  <c r="U148" i="5"/>
  <c r="T148" i="5"/>
  <c r="N148" i="5"/>
  <c r="N146" i="5" s="1"/>
  <c r="M148" i="5"/>
  <c r="L148" i="5"/>
  <c r="O148" i="5" s="1"/>
  <c r="U147" i="5"/>
  <c r="T147" i="5"/>
  <c r="P147" i="5"/>
  <c r="O147" i="5"/>
  <c r="U146" i="5"/>
  <c r="T146" i="5"/>
  <c r="S146" i="5"/>
  <c r="R146" i="5"/>
  <c r="Q146" i="5"/>
  <c r="S145" i="5"/>
  <c r="S143" i="5" s="1"/>
  <c r="R145" i="5"/>
  <c r="U145" i="5" s="1"/>
  <c r="Q145" i="5"/>
  <c r="Q142" i="5" s="1"/>
  <c r="T142" i="5" s="1"/>
  <c r="N145" i="5"/>
  <c r="M145" i="5"/>
  <c r="M143" i="5" s="1"/>
  <c r="L145" i="5"/>
  <c r="U144" i="5"/>
  <c r="T144" i="5"/>
  <c r="P144" i="5"/>
  <c r="O144" i="5"/>
  <c r="S141" i="5"/>
  <c r="R141" i="5"/>
  <c r="U141" i="5" s="1"/>
  <c r="Q141" i="5"/>
  <c r="P141" i="5"/>
  <c r="N141" i="5"/>
  <c r="M141" i="5"/>
  <c r="L141" i="5"/>
  <c r="O141" i="5" s="1"/>
  <c r="J139" i="5"/>
  <c r="J138" i="5"/>
  <c r="J137" i="5"/>
  <c r="I131" i="5"/>
  <c r="K131" i="5" s="1"/>
  <c r="I130" i="5"/>
  <c r="K130" i="5" s="1"/>
  <c r="I129" i="5"/>
  <c r="K129" i="5" s="1"/>
  <c r="I128" i="5"/>
  <c r="K128" i="5" s="1"/>
  <c r="U126" i="5"/>
  <c r="T126" i="5"/>
  <c r="N126" i="5"/>
  <c r="N124" i="5" s="1"/>
  <c r="M126" i="5"/>
  <c r="P126" i="5" s="1"/>
  <c r="L126" i="5"/>
  <c r="O126" i="5" s="1"/>
  <c r="U125" i="5"/>
  <c r="T125" i="5"/>
  <c r="P125" i="5"/>
  <c r="O125" i="5"/>
  <c r="T124" i="5"/>
  <c r="S124" i="5"/>
  <c r="R124" i="5"/>
  <c r="U124" i="5" s="1"/>
  <c r="Q124" i="5"/>
  <c r="S123" i="5"/>
  <c r="S121" i="5" s="1"/>
  <c r="R123" i="5"/>
  <c r="Q123" i="5"/>
  <c r="Q121" i="5" s="1"/>
  <c r="N123" i="5"/>
  <c r="M123" i="5"/>
  <c r="M121" i="5" s="1"/>
  <c r="P121" i="5" s="1"/>
  <c r="L123" i="5"/>
  <c r="U122" i="5"/>
  <c r="T122" i="5"/>
  <c r="P122" i="5"/>
  <c r="O122" i="5"/>
  <c r="T119" i="5"/>
  <c r="S119" i="5"/>
  <c r="R119" i="5"/>
  <c r="Q119" i="5"/>
  <c r="N119" i="5"/>
  <c r="M119" i="5"/>
  <c r="P119" i="5" s="1"/>
  <c r="L119" i="5"/>
  <c r="O119" i="5" s="1"/>
  <c r="J117" i="5"/>
  <c r="I115" i="5"/>
  <c r="K115" i="5" s="1"/>
  <c r="I110" i="5"/>
  <c r="I94" i="5" s="1"/>
  <c r="K94" i="5" s="1"/>
  <c r="I109" i="5"/>
  <c r="I93" i="5" s="1"/>
  <c r="K93" i="5" s="1"/>
  <c r="U103" i="5"/>
  <c r="T103" i="5"/>
  <c r="N103" i="5"/>
  <c r="N101" i="5" s="1"/>
  <c r="M103" i="5"/>
  <c r="P103" i="5" s="1"/>
  <c r="L103" i="5"/>
  <c r="O103" i="5" s="1"/>
  <c r="U102" i="5"/>
  <c r="T102" i="5"/>
  <c r="P102" i="5"/>
  <c r="O102" i="5"/>
  <c r="S101" i="5"/>
  <c r="R101" i="5"/>
  <c r="U101" i="5" s="1"/>
  <c r="Q101" i="5"/>
  <c r="T101" i="5" s="1"/>
  <c r="S100" i="5"/>
  <c r="S97" i="5" s="1"/>
  <c r="S95" i="5" s="1"/>
  <c r="R100" i="5"/>
  <c r="U100" i="5" s="1"/>
  <c r="Q100" i="5"/>
  <c r="Q97" i="5" s="1"/>
  <c r="N100" i="5"/>
  <c r="M100" i="5"/>
  <c r="L100" i="5"/>
  <c r="O100" i="5" s="1"/>
  <c r="U99" i="5"/>
  <c r="T99" i="5"/>
  <c r="P99" i="5"/>
  <c r="O99" i="5"/>
  <c r="T96" i="5"/>
  <c r="S96" i="5"/>
  <c r="R96" i="5"/>
  <c r="U96" i="5" s="1"/>
  <c r="Q96" i="5"/>
  <c r="P96" i="5"/>
  <c r="N96" i="5"/>
  <c r="M96" i="5"/>
  <c r="L96" i="5"/>
  <c r="O96" i="5" s="1"/>
  <c r="J94" i="5"/>
  <c r="J93" i="5"/>
  <c r="I91" i="5"/>
  <c r="K91" i="5" s="1"/>
  <c r="I90" i="5"/>
  <c r="K90" i="5" s="1"/>
  <c r="I89" i="5"/>
  <c r="K89" i="5" s="1"/>
  <c r="I88" i="5"/>
  <c r="K88" i="5" s="1"/>
  <c r="I87" i="5"/>
  <c r="K87" i="5" s="1"/>
  <c r="I86" i="5"/>
  <c r="I85" i="5"/>
  <c r="J84" i="5"/>
  <c r="J72" i="5" s="1"/>
  <c r="J83" i="5"/>
  <c r="U81" i="5"/>
  <c r="T81" i="5"/>
  <c r="N81" i="5"/>
  <c r="N79" i="5" s="1"/>
  <c r="M81" i="5"/>
  <c r="P81" i="5" s="1"/>
  <c r="L81" i="5"/>
  <c r="L79" i="5" s="1"/>
  <c r="O79" i="5" s="1"/>
  <c r="U80" i="5"/>
  <c r="T80" i="5"/>
  <c r="P80" i="5"/>
  <c r="O80" i="5"/>
  <c r="S79" i="5"/>
  <c r="R79" i="5"/>
  <c r="U79" i="5" s="1"/>
  <c r="Q79" i="5"/>
  <c r="T79" i="5" s="1"/>
  <c r="S78" i="5"/>
  <c r="S76" i="5" s="1"/>
  <c r="R78" i="5"/>
  <c r="U78" i="5" s="1"/>
  <c r="Q78" i="5"/>
  <c r="N78" i="5"/>
  <c r="N76" i="5" s="1"/>
  <c r="M78" i="5"/>
  <c r="P78" i="5" s="1"/>
  <c r="L78" i="5"/>
  <c r="L76" i="5" s="1"/>
  <c r="O76" i="5" s="1"/>
  <c r="U77" i="5"/>
  <c r="T77" i="5"/>
  <c r="P77" i="5"/>
  <c r="O77" i="5"/>
  <c r="U74" i="5"/>
  <c r="S74" i="5"/>
  <c r="R74" i="5"/>
  <c r="Q74" i="5"/>
  <c r="N74" i="5"/>
  <c r="M74" i="5"/>
  <c r="P74" i="5" s="1"/>
  <c r="L74" i="5"/>
  <c r="O74" i="5" s="1"/>
  <c r="J71" i="5"/>
  <c r="U68" i="5"/>
  <c r="T68" i="5"/>
  <c r="N68" i="5"/>
  <c r="N66" i="5" s="1"/>
  <c r="M68" i="5"/>
  <c r="P68" i="5" s="1"/>
  <c r="L68" i="5"/>
  <c r="L66" i="5" s="1"/>
  <c r="O66" i="5" s="1"/>
  <c r="U67" i="5"/>
  <c r="T67" i="5"/>
  <c r="P67" i="5"/>
  <c r="O67" i="5"/>
  <c r="U66" i="5"/>
  <c r="T66" i="5"/>
  <c r="S66" i="5"/>
  <c r="R66" i="5"/>
  <c r="Q66" i="5"/>
  <c r="U65" i="5"/>
  <c r="T65" i="5"/>
  <c r="N65" i="5"/>
  <c r="M65" i="5"/>
  <c r="L65" i="5"/>
  <c r="L63" i="5" s="1"/>
  <c r="U64" i="5"/>
  <c r="T64" i="5"/>
  <c r="P64" i="5"/>
  <c r="O64" i="5"/>
  <c r="S63" i="5"/>
  <c r="R63" i="5"/>
  <c r="U63" i="5" s="1"/>
  <c r="Q63" i="5"/>
  <c r="T63" i="5" s="1"/>
  <c r="U62" i="5"/>
  <c r="T62" i="5"/>
  <c r="S62" i="5"/>
  <c r="R62" i="5"/>
  <c r="Q62" i="5"/>
  <c r="U61" i="5"/>
  <c r="S61" i="5"/>
  <c r="R61" i="5"/>
  <c r="R60" i="5" s="1"/>
  <c r="U60" i="5" s="1"/>
  <c r="Q61" i="5"/>
  <c r="T61" i="5" s="1"/>
  <c r="N61" i="5"/>
  <c r="M61" i="5"/>
  <c r="P61" i="5" s="1"/>
  <c r="L61" i="5"/>
  <c r="O61" i="5" s="1"/>
  <c r="S60" i="5"/>
  <c r="Q60" i="5"/>
  <c r="T60" i="5" s="1"/>
  <c r="U53" i="5"/>
  <c r="T53" i="5"/>
  <c r="N53" i="5"/>
  <c r="M53" i="5"/>
  <c r="P53" i="5" s="1"/>
  <c r="L53" i="5"/>
  <c r="L51" i="5" s="1"/>
  <c r="O51" i="5" s="1"/>
  <c r="U52" i="5"/>
  <c r="T52" i="5"/>
  <c r="P52" i="5"/>
  <c r="O52" i="5"/>
  <c r="T51" i="5"/>
  <c r="S51" i="5"/>
  <c r="R51" i="5"/>
  <c r="U51" i="5" s="1"/>
  <c r="Q51" i="5"/>
  <c r="U50" i="5"/>
  <c r="T50" i="5"/>
  <c r="N50" i="5"/>
  <c r="N48" i="5" s="1"/>
  <c r="M50" i="5"/>
  <c r="L50" i="5"/>
  <c r="U49" i="5"/>
  <c r="T49" i="5"/>
  <c r="P49" i="5"/>
  <c r="O49" i="5"/>
  <c r="U48" i="5"/>
  <c r="S48" i="5"/>
  <c r="R48" i="5"/>
  <c r="Q48" i="5"/>
  <c r="T48" i="5" s="1"/>
  <c r="U47" i="5"/>
  <c r="S47" i="5"/>
  <c r="S45" i="5" s="1"/>
  <c r="R47" i="5"/>
  <c r="Q47" i="5"/>
  <c r="T47" i="5" s="1"/>
  <c r="T46" i="5"/>
  <c r="S46" i="5"/>
  <c r="R46" i="5"/>
  <c r="U46" i="5" s="1"/>
  <c r="Q46" i="5"/>
  <c r="O46" i="5"/>
  <c r="N46" i="5"/>
  <c r="M46" i="5"/>
  <c r="L46" i="5"/>
  <c r="R45" i="5"/>
  <c r="U45" i="5" s="1"/>
  <c r="U27" i="5"/>
  <c r="T27" i="5"/>
  <c r="S27" i="5"/>
  <c r="R27" i="5"/>
  <c r="Q27" i="5"/>
  <c r="T26" i="5"/>
  <c r="S26" i="5"/>
  <c r="R26" i="5"/>
  <c r="U26" i="5" s="1"/>
  <c r="Q26" i="5"/>
  <c r="Q25" i="5" s="1"/>
  <c r="T25" i="5" s="1"/>
  <c r="N26" i="5"/>
  <c r="M26" i="5"/>
  <c r="L26" i="5"/>
  <c r="O26" i="5" s="1"/>
  <c r="R25" i="5"/>
  <c r="U25" i="5" s="1"/>
  <c r="S23" i="5"/>
  <c r="R23" i="5"/>
  <c r="U23" i="5" s="1"/>
  <c r="Q23" i="5"/>
  <c r="T23" i="5" s="1"/>
  <c r="N23" i="5"/>
  <c r="M23" i="5"/>
  <c r="P23" i="5" s="1"/>
  <c r="L23" i="5"/>
  <c r="O23" i="5" s="1"/>
  <c r="S20" i="5"/>
  <c r="R20" i="5"/>
  <c r="U20" i="5" s="1"/>
  <c r="L20" i="5"/>
  <c r="O20" i="5" s="1"/>
  <c r="A790" i="4"/>
  <c r="A789" i="4"/>
  <c r="J786" i="4"/>
  <c r="I786" i="4"/>
  <c r="J785" i="4"/>
  <c r="I785" i="4"/>
  <c r="J784" i="4"/>
  <c r="I784" i="4"/>
  <c r="K784" i="4" s="1"/>
  <c r="J783" i="4"/>
  <c r="I783" i="4"/>
  <c r="K783" i="4" s="1"/>
  <c r="J782" i="4"/>
  <c r="I782" i="4"/>
  <c r="J781" i="4"/>
  <c r="I781" i="4"/>
  <c r="J780" i="4"/>
  <c r="I780" i="4"/>
  <c r="J779" i="4"/>
  <c r="I779" i="4"/>
  <c r="H778" i="4"/>
  <c r="I777" i="4"/>
  <c r="I776" i="4"/>
  <c r="I775" i="4"/>
  <c r="I760" i="4" s="1"/>
  <c r="K760" i="4" s="1"/>
  <c r="I773" i="4"/>
  <c r="K773" i="4" s="1"/>
  <c r="I771" i="4"/>
  <c r="K771" i="4" s="1"/>
  <c r="U769" i="4"/>
  <c r="T769" i="4"/>
  <c r="P769" i="4"/>
  <c r="O769" i="4"/>
  <c r="U768" i="4"/>
  <c r="T768" i="4"/>
  <c r="P768" i="4"/>
  <c r="O768" i="4"/>
  <c r="U767" i="4"/>
  <c r="S767" i="4"/>
  <c r="R767" i="4"/>
  <c r="Q767" i="4"/>
  <c r="T767" i="4" s="1"/>
  <c r="O767" i="4"/>
  <c r="N767" i="4"/>
  <c r="M767" i="4"/>
  <c r="P767" i="4" s="1"/>
  <c r="L767" i="4"/>
  <c r="S766" i="4"/>
  <c r="S764" i="4" s="1"/>
  <c r="R766" i="4"/>
  <c r="Q766" i="4"/>
  <c r="P766" i="4"/>
  <c r="O766" i="4"/>
  <c r="U765" i="4"/>
  <c r="T765" i="4"/>
  <c r="P765" i="4"/>
  <c r="O765" i="4"/>
  <c r="P764" i="4"/>
  <c r="N764" i="4"/>
  <c r="M764" i="4"/>
  <c r="L764" i="4"/>
  <c r="O764" i="4" s="1"/>
  <c r="P763" i="4"/>
  <c r="N763" i="4"/>
  <c r="M763" i="4"/>
  <c r="L763" i="4"/>
  <c r="T762" i="4"/>
  <c r="S762" i="4"/>
  <c r="R762" i="4"/>
  <c r="U762" i="4" s="1"/>
  <c r="Q762" i="4"/>
  <c r="P762" i="4"/>
  <c r="N762" i="4"/>
  <c r="M762" i="4"/>
  <c r="M761" i="4" s="1"/>
  <c r="P761" i="4" s="1"/>
  <c r="L762" i="4"/>
  <c r="O762" i="4" s="1"/>
  <c r="N761" i="4"/>
  <c r="J760" i="4"/>
  <c r="J759" i="4"/>
  <c r="I756" i="4"/>
  <c r="K756" i="4" s="1"/>
  <c r="I753" i="4"/>
  <c r="K753" i="4" s="1"/>
  <c r="I750" i="4"/>
  <c r="K750" i="4" s="1"/>
  <c r="I747" i="4"/>
  <c r="K747" i="4" s="1"/>
  <c r="I745" i="4"/>
  <c r="K745" i="4" s="1"/>
  <c r="I743" i="4"/>
  <c r="K743" i="4" s="1"/>
  <c r="I741" i="4"/>
  <c r="K741" i="4" s="1"/>
  <c r="U737" i="4"/>
  <c r="T737" i="4"/>
  <c r="P737" i="4"/>
  <c r="O737" i="4"/>
  <c r="U736" i="4"/>
  <c r="T736" i="4"/>
  <c r="P736" i="4"/>
  <c r="O736" i="4"/>
  <c r="T735" i="4"/>
  <c r="S735" i="4"/>
  <c r="R735" i="4"/>
  <c r="U735" i="4" s="1"/>
  <c r="Q735" i="4"/>
  <c r="P735" i="4"/>
  <c r="N735" i="4"/>
  <c r="M735" i="4"/>
  <c r="L735" i="4"/>
  <c r="O735" i="4" s="1"/>
  <c r="S734" i="4"/>
  <c r="S731" i="4" s="1"/>
  <c r="S729" i="4" s="1"/>
  <c r="R734" i="4"/>
  <c r="R732" i="4" s="1"/>
  <c r="Q734" i="4"/>
  <c r="P734" i="4"/>
  <c r="O734" i="4"/>
  <c r="U733" i="4"/>
  <c r="T733" i="4"/>
  <c r="P733" i="4"/>
  <c r="O733" i="4"/>
  <c r="O732" i="4"/>
  <c r="N732" i="4"/>
  <c r="M732" i="4"/>
  <c r="P732" i="4" s="1"/>
  <c r="L732" i="4"/>
  <c r="O731" i="4"/>
  <c r="N731" i="4"/>
  <c r="M731" i="4"/>
  <c r="P731" i="4" s="1"/>
  <c r="L731" i="4"/>
  <c r="U730" i="4"/>
  <c r="S730" i="4"/>
  <c r="R730" i="4"/>
  <c r="Q730" i="4"/>
  <c r="T730" i="4" s="1"/>
  <c r="O730" i="4"/>
  <c r="N730" i="4"/>
  <c r="N729" i="4" s="1"/>
  <c r="M730" i="4"/>
  <c r="P730" i="4" s="1"/>
  <c r="L730" i="4"/>
  <c r="L729" i="4" s="1"/>
  <c r="O729" i="4" s="1"/>
  <c r="M729" i="4"/>
  <c r="P729" i="4" s="1"/>
  <c r="J728" i="4"/>
  <c r="I728" i="4"/>
  <c r="J727" i="4"/>
  <c r="I727" i="4"/>
  <c r="K727" i="4" s="1"/>
  <c r="U723" i="4"/>
  <c r="T723" i="4"/>
  <c r="P723" i="4"/>
  <c r="O723" i="4"/>
  <c r="U722" i="4"/>
  <c r="T722" i="4"/>
  <c r="P722" i="4"/>
  <c r="O722" i="4"/>
  <c r="U721" i="4"/>
  <c r="S721" i="4"/>
  <c r="R721" i="4"/>
  <c r="Q721" i="4"/>
  <c r="T721" i="4" s="1"/>
  <c r="O721" i="4"/>
  <c r="N721" i="4"/>
  <c r="M721" i="4"/>
  <c r="P721" i="4" s="1"/>
  <c r="L721" i="4"/>
  <c r="U720" i="4"/>
  <c r="T720" i="4"/>
  <c r="P720" i="4"/>
  <c r="O720" i="4"/>
  <c r="U719" i="4"/>
  <c r="T719" i="4"/>
  <c r="P719" i="4"/>
  <c r="O719" i="4"/>
  <c r="U718" i="4"/>
  <c r="S718" i="4"/>
  <c r="R718" i="4"/>
  <c r="Q718" i="4"/>
  <c r="T718" i="4" s="1"/>
  <c r="O718" i="4"/>
  <c r="N718" i="4"/>
  <c r="M718" i="4"/>
  <c r="P718" i="4" s="1"/>
  <c r="L718" i="4"/>
  <c r="U717" i="4"/>
  <c r="S717" i="4"/>
  <c r="R717" i="4"/>
  <c r="Q717" i="4"/>
  <c r="O717" i="4"/>
  <c r="N717" i="4"/>
  <c r="M717" i="4"/>
  <c r="P717" i="4" s="1"/>
  <c r="L717" i="4"/>
  <c r="U716" i="4"/>
  <c r="S716" i="4"/>
  <c r="R716" i="4"/>
  <c r="R715" i="4" s="1"/>
  <c r="U715" i="4" s="1"/>
  <c r="Q716" i="4"/>
  <c r="T716" i="4" s="1"/>
  <c r="O716" i="4"/>
  <c r="N716" i="4"/>
  <c r="N715" i="4" s="1"/>
  <c r="M716" i="4"/>
  <c r="P716" i="4" s="1"/>
  <c r="L716" i="4"/>
  <c r="L715" i="4" s="1"/>
  <c r="O715" i="4" s="1"/>
  <c r="S715" i="4"/>
  <c r="M715" i="4"/>
  <c r="P715" i="4" s="1"/>
  <c r="K713" i="4"/>
  <c r="J713" i="4"/>
  <c r="K711" i="4"/>
  <c r="J711" i="4"/>
  <c r="J710" i="4"/>
  <c r="I710" i="4"/>
  <c r="K709" i="4"/>
  <c r="J709" i="4"/>
  <c r="J708" i="4"/>
  <c r="J690" i="4" s="1"/>
  <c r="I708" i="4"/>
  <c r="K707" i="4"/>
  <c r="J707" i="4"/>
  <c r="J706" i="4"/>
  <c r="I706" i="4"/>
  <c r="K705" i="4"/>
  <c r="J705" i="4"/>
  <c r="J704" i="4"/>
  <c r="I704" i="4"/>
  <c r="K704" i="4" s="1"/>
  <c r="K703" i="4"/>
  <c r="I701" i="4"/>
  <c r="K701" i="4" s="1"/>
  <c r="U699" i="4"/>
  <c r="T699" i="4"/>
  <c r="P699" i="4"/>
  <c r="O699" i="4"/>
  <c r="U698" i="4"/>
  <c r="T698" i="4"/>
  <c r="P698" i="4"/>
  <c r="O698" i="4"/>
  <c r="T697" i="4"/>
  <c r="S697" i="4"/>
  <c r="R697" i="4"/>
  <c r="U697" i="4" s="1"/>
  <c r="Q697" i="4"/>
  <c r="P697" i="4"/>
  <c r="N697" i="4"/>
  <c r="M697" i="4"/>
  <c r="L697" i="4"/>
  <c r="O697" i="4" s="1"/>
  <c r="S696" i="4"/>
  <c r="S693" i="4" s="1"/>
  <c r="S691" i="4" s="1"/>
  <c r="R696" i="4"/>
  <c r="R694" i="4" s="1"/>
  <c r="Q696" i="4"/>
  <c r="P696" i="4"/>
  <c r="O696" i="4"/>
  <c r="U695" i="4"/>
  <c r="T695" i="4"/>
  <c r="P695" i="4"/>
  <c r="O695" i="4"/>
  <c r="O694" i="4"/>
  <c r="N694" i="4"/>
  <c r="M694" i="4"/>
  <c r="P694" i="4" s="1"/>
  <c r="L694" i="4"/>
  <c r="O693" i="4"/>
  <c r="N693" i="4"/>
  <c r="M693" i="4"/>
  <c r="L693" i="4"/>
  <c r="U692" i="4"/>
  <c r="S692" i="4"/>
  <c r="R692" i="4"/>
  <c r="Q692" i="4"/>
  <c r="O692" i="4"/>
  <c r="N692" i="4"/>
  <c r="N691" i="4" s="1"/>
  <c r="M692" i="4"/>
  <c r="P692" i="4" s="1"/>
  <c r="L692" i="4"/>
  <c r="O691" i="4"/>
  <c r="L691" i="4"/>
  <c r="J683" i="4"/>
  <c r="I683" i="4"/>
  <c r="K683" i="4" s="1"/>
  <c r="J682" i="4"/>
  <c r="I682" i="4"/>
  <c r="K682" i="4" s="1"/>
  <c r="J681" i="4"/>
  <c r="J680" i="4"/>
  <c r="I680" i="4"/>
  <c r="K680" i="4" s="1"/>
  <c r="J679" i="4"/>
  <c r="I679" i="4"/>
  <c r="K679" i="4" s="1"/>
  <c r="J678" i="4"/>
  <c r="J677" i="4"/>
  <c r="I677" i="4"/>
  <c r="K677" i="4" s="1"/>
  <c r="I676" i="4"/>
  <c r="K676" i="4" s="1"/>
  <c r="I675" i="4"/>
  <c r="K675" i="4" s="1"/>
  <c r="J674" i="4"/>
  <c r="I674" i="4"/>
  <c r="K674" i="4" s="1"/>
  <c r="J673" i="4"/>
  <c r="J672" i="4"/>
  <c r="J662" i="4"/>
  <c r="I662" i="4"/>
  <c r="K662" i="4" s="1"/>
  <c r="I661" i="4"/>
  <c r="I658" i="4"/>
  <c r="J655" i="4"/>
  <c r="I655" i="4"/>
  <c r="K655" i="4" s="1"/>
  <c r="J654" i="4"/>
  <c r="I654" i="4"/>
  <c r="K654" i="4" s="1"/>
  <c r="J653" i="4"/>
  <c r="I653" i="4"/>
  <c r="K653" i="4" s="1"/>
  <c r="U651" i="4"/>
  <c r="T651" i="4"/>
  <c r="P651" i="4"/>
  <c r="O651" i="4"/>
  <c r="U650" i="4"/>
  <c r="T650" i="4"/>
  <c r="P650" i="4"/>
  <c r="O650" i="4"/>
  <c r="T649" i="4"/>
  <c r="S649" i="4"/>
  <c r="R649" i="4"/>
  <c r="U649" i="4" s="1"/>
  <c r="Q649" i="4"/>
  <c r="P649" i="4"/>
  <c r="N649" i="4"/>
  <c r="M649" i="4"/>
  <c r="L649" i="4"/>
  <c r="O649" i="4" s="1"/>
  <c r="S648" i="4"/>
  <c r="S646" i="4" s="1"/>
  <c r="R648" i="4"/>
  <c r="U648" i="4" s="1"/>
  <c r="Q648" i="4"/>
  <c r="Q646" i="4" s="1"/>
  <c r="T646" i="4" s="1"/>
  <c r="P648" i="4"/>
  <c r="O648" i="4"/>
  <c r="U647" i="4"/>
  <c r="T647" i="4"/>
  <c r="P647" i="4"/>
  <c r="O647" i="4"/>
  <c r="O646" i="4"/>
  <c r="N646" i="4"/>
  <c r="M646" i="4"/>
  <c r="P646" i="4" s="1"/>
  <c r="L646" i="4"/>
  <c r="O645" i="4"/>
  <c r="N645" i="4"/>
  <c r="M645" i="4"/>
  <c r="L645" i="4"/>
  <c r="U644" i="4"/>
  <c r="S644" i="4"/>
  <c r="R644" i="4"/>
  <c r="Q644" i="4"/>
  <c r="O644" i="4"/>
  <c r="N644" i="4"/>
  <c r="N643" i="4" s="1"/>
  <c r="M644" i="4"/>
  <c r="P644" i="4" s="1"/>
  <c r="L644" i="4"/>
  <c r="O643" i="4"/>
  <c r="L643" i="4"/>
  <c r="J637" i="4"/>
  <c r="J636" i="4"/>
  <c r="I636" i="4"/>
  <c r="K636" i="4" s="1"/>
  <c r="J633" i="4"/>
  <c r="I629" i="4"/>
  <c r="K629" i="4" s="1"/>
  <c r="I628" i="4"/>
  <c r="K628" i="4" s="1"/>
  <c r="J627" i="4"/>
  <c r="I627" i="4"/>
  <c r="K631" i="4" s="1"/>
  <c r="U625" i="4"/>
  <c r="T625" i="4"/>
  <c r="P625" i="4"/>
  <c r="O625" i="4"/>
  <c r="U624" i="4"/>
  <c r="T624" i="4"/>
  <c r="P624" i="4"/>
  <c r="O624" i="4"/>
  <c r="U623" i="4"/>
  <c r="S623" i="4"/>
  <c r="R623" i="4"/>
  <c r="Q623" i="4"/>
  <c r="T623" i="4" s="1"/>
  <c r="O623" i="4"/>
  <c r="N623" i="4"/>
  <c r="M623" i="4"/>
  <c r="P623" i="4" s="1"/>
  <c r="L623" i="4"/>
  <c r="S622" i="4"/>
  <c r="R622" i="4"/>
  <c r="Q622" i="4"/>
  <c r="P622" i="4"/>
  <c r="O622" i="4"/>
  <c r="U621" i="4"/>
  <c r="T621" i="4"/>
  <c r="P621" i="4"/>
  <c r="O621" i="4"/>
  <c r="P620" i="4"/>
  <c r="N620" i="4"/>
  <c r="M620" i="4"/>
  <c r="L620" i="4"/>
  <c r="O620" i="4" s="1"/>
  <c r="P619" i="4"/>
  <c r="N619" i="4"/>
  <c r="N617" i="4" s="1"/>
  <c r="M619" i="4"/>
  <c r="L619" i="4"/>
  <c r="O619" i="4" s="1"/>
  <c r="T618" i="4"/>
  <c r="S618" i="4"/>
  <c r="R618" i="4"/>
  <c r="Q618" i="4"/>
  <c r="P618" i="4"/>
  <c r="N618" i="4"/>
  <c r="M618" i="4"/>
  <c r="L618" i="4"/>
  <c r="P617" i="4"/>
  <c r="M617" i="4"/>
  <c r="J616" i="4"/>
  <c r="U608" i="4"/>
  <c r="T608" i="4"/>
  <c r="P608" i="4"/>
  <c r="O608" i="4"/>
  <c r="U607" i="4"/>
  <c r="T607" i="4"/>
  <c r="P607" i="4"/>
  <c r="O607" i="4"/>
  <c r="U606" i="4"/>
  <c r="S606" i="4"/>
  <c r="R606" i="4"/>
  <c r="Q606" i="4"/>
  <c r="T606" i="4" s="1"/>
  <c r="O606" i="4"/>
  <c r="N606" i="4"/>
  <c r="M606" i="4"/>
  <c r="P606" i="4" s="1"/>
  <c r="L606" i="4"/>
  <c r="U605" i="4"/>
  <c r="T605" i="4"/>
  <c r="P605" i="4"/>
  <c r="O605" i="4"/>
  <c r="U604" i="4"/>
  <c r="T604" i="4"/>
  <c r="P604" i="4"/>
  <c r="O604" i="4"/>
  <c r="U603" i="4"/>
  <c r="S603" i="4"/>
  <c r="R603" i="4"/>
  <c r="Q603" i="4"/>
  <c r="T603" i="4" s="1"/>
  <c r="O603" i="4"/>
  <c r="N603" i="4"/>
  <c r="M603" i="4"/>
  <c r="P603" i="4" s="1"/>
  <c r="L603" i="4"/>
  <c r="U602" i="4"/>
  <c r="S602" i="4"/>
  <c r="R602" i="4"/>
  <c r="Q602" i="4"/>
  <c r="O602" i="4"/>
  <c r="N602" i="4"/>
  <c r="M602" i="4"/>
  <c r="P602" i="4" s="1"/>
  <c r="L602" i="4"/>
  <c r="U601" i="4"/>
  <c r="S601" i="4"/>
  <c r="R601" i="4"/>
  <c r="R600" i="4" s="1"/>
  <c r="U600" i="4" s="1"/>
  <c r="Q601" i="4"/>
  <c r="T601" i="4" s="1"/>
  <c r="O601" i="4"/>
  <c r="N601" i="4"/>
  <c r="N600" i="4" s="1"/>
  <c r="M601" i="4"/>
  <c r="P601" i="4" s="1"/>
  <c r="L601" i="4"/>
  <c r="L600" i="4" s="1"/>
  <c r="O600" i="4" s="1"/>
  <c r="S600" i="4"/>
  <c r="M600" i="4"/>
  <c r="P600" i="4" s="1"/>
  <c r="U585" i="4"/>
  <c r="T585" i="4"/>
  <c r="P585" i="4"/>
  <c r="O585" i="4"/>
  <c r="U584" i="4"/>
  <c r="T584" i="4"/>
  <c r="P584" i="4"/>
  <c r="O584" i="4"/>
  <c r="U583" i="4"/>
  <c r="S583" i="4"/>
  <c r="R583" i="4"/>
  <c r="Q583" i="4"/>
  <c r="T583" i="4" s="1"/>
  <c r="O583" i="4"/>
  <c r="N583" i="4"/>
  <c r="M583" i="4"/>
  <c r="P583" i="4" s="1"/>
  <c r="L583" i="4"/>
  <c r="U582" i="4"/>
  <c r="T582" i="4"/>
  <c r="P582" i="4"/>
  <c r="O582" i="4"/>
  <c r="U581" i="4"/>
  <c r="T581" i="4"/>
  <c r="P581" i="4"/>
  <c r="O581" i="4"/>
  <c r="U580" i="4"/>
  <c r="S580" i="4"/>
  <c r="R580" i="4"/>
  <c r="Q580" i="4"/>
  <c r="T580" i="4" s="1"/>
  <c r="O580" i="4"/>
  <c r="N580" i="4"/>
  <c r="M580" i="4"/>
  <c r="P580" i="4" s="1"/>
  <c r="L580" i="4"/>
  <c r="U579" i="4"/>
  <c r="S579" i="4"/>
  <c r="R579" i="4"/>
  <c r="Q579" i="4"/>
  <c r="O579" i="4"/>
  <c r="N579" i="4"/>
  <c r="M579" i="4"/>
  <c r="P579" i="4" s="1"/>
  <c r="L579" i="4"/>
  <c r="U578" i="4"/>
  <c r="S578" i="4"/>
  <c r="R578" i="4"/>
  <c r="R577" i="4" s="1"/>
  <c r="U577" i="4" s="1"/>
  <c r="Q578" i="4"/>
  <c r="T578" i="4" s="1"/>
  <c r="O578" i="4"/>
  <c r="N578" i="4"/>
  <c r="N577" i="4" s="1"/>
  <c r="M578" i="4"/>
  <c r="P578" i="4" s="1"/>
  <c r="L578" i="4"/>
  <c r="L577" i="4" s="1"/>
  <c r="O577" i="4" s="1"/>
  <c r="S577" i="4"/>
  <c r="M577" i="4"/>
  <c r="P577" i="4" s="1"/>
  <c r="K576" i="4"/>
  <c r="J576" i="4"/>
  <c r="I576" i="4"/>
  <c r="U564" i="4"/>
  <c r="T564" i="4"/>
  <c r="P564" i="4"/>
  <c r="O564" i="4"/>
  <c r="U563" i="4"/>
  <c r="T563" i="4"/>
  <c r="P563" i="4"/>
  <c r="O563" i="4"/>
  <c r="T562" i="4"/>
  <c r="S562" i="4"/>
  <c r="R562" i="4"/>
  <c r="U562" i="4" s="1"/>
  <c r="Q562" i="4"/>
  <c r="P562" i="4"/>
  <c r="N562" i="4"/>
  <c r="M562" i="4"/>
  <c r="L562" i="4"/>
  <c r="O562" i="4" s="1"/>
  <c r="U561" i="4"/>
  <c r="T561" i="4"/>
  <c r="P561" i="4"/>
  <c r="O561" i="4"/>
  <c r="U560" i="4"/>
  <c r="T560" i="4"/>
  <c r="P560" i="4"/>
  <c r="O560" i="4"/>
  <c r="T559" i="4"/>
  <c r="S559" i="4"/>
  <c r="R559" i="4"/>
  <c r="U559" i="4" s="1"/>
  <c r="Q559" i="4"/>
  <c r="P559" i="4"/>
  <c r="N559" i="4"/>
  <c r="M559" i="4"/>
  <c r="L559" i="4"/>
  <c r="O559" i="4" s="1"/>
  <c r="T558" i="4"/>
  <c r="S558" i="4"/>
  <c r="R558" i="4"/>
  <c r="U558" i="4" s="1"/>
  <c r="Q558" i="4"/>
  <c r="P558" i="4"/>
  <c r="N558" i="4"/>
  <c r="N556" i="4" s="1"/>
  <c r="M558" i="4"/>
  <c r="L558" i="4"/>
  <c r="O558" i="4" s="1"/>
  <c r="T557" i="4"/>
  <c r="S557" i="4"/>
  <c r="R557" i="4"/>
  <c r="Q557" i="4"/>
  <c r="Q556" i="4" s="1"/>
  <c r="T556" i="4" s="1"/>
  <c r="P557" i="4"/>
  <c r="N557" i="4"/>
  <c r="M557" i="4"/>
  <c r="L557" i="4"/>
  <c r="S556" i="4"/>
  <c r="P556" i="4"/>
  <c r="M556" i="4"/>
  <c r="J555" i="4"/>
  <c r="I555" i="4"/>
  <c r="K555" i="4" s="1"/>
  <c r="U543" i="4"/>
  <c r="T543" i="4"/>
  <c r="P543" i="4"/>
  <c r="O543" i="4"/>
  <c r="U542" i="4"/>
  <c r="T542" i="4"/>
  <c r="P542" i="4"/>
  <c r="O542" i="4"/>
  <c r="U541" i="4"/>
  <c r="S541" i="4"/>
  <c r="R541" i="4"/>
  <c r="Q541" i="4"/>
  <c r="T541" i="4" s="1"/>
  <c r="O541" i="4"/>
  <c r="N541" i="4"/>
  <c r="M541" i="4"/>
  <c r="P541" i="4" s="1"/>
  <c r="L541" i="4"/>
  <c r="U540" i="4"/>
  <c r="T540" i="4"/>
  <c r="P540" i="4"/>
  <c r="O540" i="4"/>
  <c r="U539" i="4"/>
  <c r="T539" i="4"/>
  <c r="P539" i="4"/>
  <c r="O539" i="4"/>
  <c r="U538" i="4"/>
  <c r="S538" i="4"/>
  <c r="R538" i="4"/>
  <c r="Q538" i="4"/>
  <c r="T538" i="4" s="1"/>
  <c r="O538" i="4"/>
  <c r="N538" i="4"/>
  <c r="M538" i="4"/>
  <c r="P538" i="4" s="1"/>
  <c r="L538" i="4"/>
  <c r="U537" i="4"/>
  <c r="S537" i="4"/>
  <c r="R537" i="4"/>
  <c r="Q537" i="4"/>
  <c r="O537" i="4"/>
  <c r="N537" i="4"/>
  <c r="M537" i="4"/>
  <c r="P537" i="4" s="1"/>
  <c r="L537" i="4"/>
  <c r="U536" i="4"/>
  <c r="S536" i="4"/>
  <c r="S535" i="4" s="1"/>
  <c r="R536" i="4"/>
  <c r="R535" i="4" s="1"/>
  <c r="U535" i="4" s="1"/>
  <c r="Q536" i="4"/>
  <c r="T536" i="4" s="1"/>
  <c r="O536" i="4"/>
  <c r="N536" i="4"/>
  <c r="N535" i="4" s="1"/>
  <c r="M536" i="4"/>
  <c r="L536" i="4"/>
  <c r="L535" i="4" s="1"/>
  <c r="O535" i="4" s="1"/>
  <c r="K534" i="4"/>
  <c r="J534" i="4"/>
  <c r="I534" i="4"/>
  <c r="K525" i="4"/>
  <c r="K524" i="4"/>
  <c r="U522" i="4"/>
  <c r="T522" i="4"/>
  <c r="N522" i="4"/>
  <c r="N520" i="4" s="1"/>
  <c r="M522" i="4"/>
  <c r="P522" i="4" s="1"/>
  <c r="L522" i="4"/>
  <c r="O522" i="4" s="1"/>
  <c r="U521" i="4"/>
  <c r="T521" i="4"/>
  <c r="P521" i="4"/>
  <c r="O521" i="4"/>
  <c r="U520" i="4"/>
  <c r="S520" i="4"/>
  <c r="R520" i="4"/>
  <c r="Q520" i="4"/>
  <c r="T520" i="4" s="1"/>
  <c r="U519" i="4"/>
  <c r="T519" i="4"/>
  <c r="N519" i="4"/>
  <c r="M519" i="4"/>
  <c r="M517" i="4" s="1"/>
  <c r="P517" i="4" s="1"/>
  <c r="L519" i="4"/>
  <c r="U518" i="4"/>
  <c r="T518" i="4"/>
  <c r="P518" i="4"/>
  <c r="O518" i="4"/>
  <c r="T517" i="4"/>
  <c r="S517" i="4"/>
  <c r="R517" i="4"/>
  <c r="U517" i="4" s="1"/>
  <c r="Q517" i="4"/>
  <c r="T516" i="4"/>
  <c r="S516" i="4"/>
  <c r="R516" i="4"/>
  <c r="U516" i="4" s="1"/>
  <c r="Q516" i="4"/>
  <c r="T515" i="4"/>
  <c r="S515" i="4"/>
  <c r="R515" i="4"/>
  <c r="U515" i="4" s="1"/>
  <c r="Q515" i="4"/>
  <c r="Q514" i="4" s="1"/>
  <c r="P515" i="4"/>
  <c r="N515" i="4"/>
  <c r="M515" i="4"/>
  <c r="L515" i="4"/>
  <c r="O515" i="4" s="1"/>
  <c r="T514" i="4"/>
  <c r="J513" i="4"/>
  <c r="I513" i="4"/>
  <c r="K513" i="4" s="1"/>
  <c r="I510" i="4"/>
  <c r="K510" i="4" s="1"/>
  <c r="K509" i="4"/>
  <c r="I508" i="4"/>
  <c r="K508" i="4" s="1"/>
  <c r="I507" i="4"/>
  <c r="K507" i="4" s="1"/>
  <c r="I506" i="4"/>
  <c r="K506" i="4" s="1"/>
  <c r="I505" i="4"/>
  <c r="I504" i="4"/>
  <c r="I493" i="4" s="1"/>
  <c r="K493" i="4" s="1"/>
  <c r="U502" i="4"/>
  <c r="T502" i="4"/>
  <c r="P502" i="4"/>
  <c r="O502" i="4"/>
  <c r="U501" i="4"/>
  <c r="T501" i="4"/>
  <c r="P501" i="4"/>
  <c r="O501" i="4"/>
  <c r="U500" i="4"/>
  <c r="S500" i="4"/>
  <c r="R500" i="4"/>
  <c r="Q500" i="4"/>
  <c r="T500" i="4" s="1"/>
  <c r="O500" i="4"/>
  <c r="N500" i="4"/>
  <c r="M500" i="4"/>
  <c r="P500" i="4" s="1"/>
  <c r="L500" i="4"/>
  <c r="S499" i="4"/>
  <c r="R499" i="4"/>
  <c r="Q499" i="4"/>
  <c r="P499" i="4"/>
  <c r="O499" i="4"/>
  <c r="U498" i="4"/>
  <c r="T498" i="4"/>
  <c r="P498" i="4"/>
  <c r="O498" i="4"/>
  <c r="P497" i="4"/>
  <c r="N497" i="4"/>
  <c r="M497" i="4"/>
  <c r="L497" i="4"/>
  <c r="O497" i="4" s="1"/>
  <c r="P496" i="4"/>
  <c r="O496" i="4"/>
  <c r="N496" i="4"/>
  <c r="M496" i="4"/>
  <c r="L496" i="4"/>
  <c r="T495" i="4"/>
  <c r="S495" i="4"/>
  <c r="R495" i="4"/>
  <c r="Q495" i="4"/>
  <c r="P495" i="4"/>
  <c r="N495" i="4"/>
  <c r="N494" i="4" s="1"/>
  <c r="M495" i="4"/>
  <c r="M494" i="4" s="1"/>
  <c r="L495" i="4"/>
  <c r="P494" i="4"/>
  <c r="J486" i="4"/>
  <c r="I486" i="4"/>
  <c r="K486" i="4" s="1"/>
  <c r="K485" i="4"/>
  <c r="J485" i="4"/>
  <c r="I485" i="4"/>
  <c r="J484" i="4"/>
  <c r="J483" i="4"/>
  <c r="K478" i="4"/>
  <c r="J478" i="4"/>
  <c r="K477" i="4"/>
  <c r="J477" i="4"/>
  <c r="K476" i="4"/>
  <c r="J476" i="4"/>
  <c r="J469" i="4"/>
  <c r="J459" i="4" s="1"/>
  <c r="J468" i="4"/>
  <c r="J458" i="4" s="1"/>
  <c r="J457" i="4" s="1"/>
  <c r="J461" i="4"/>
  <c r="J460" i="4"/>
  <c r="I459" i="4"/>
  <c r="K459" i="4" s="1"/>
  <c r="I458" i="4"/>
  <c r="I457" i="4" s="1"/>
  <c r="K457" i="4" s="1"/>
  <c r="J448" i="4"/>
  <c r="J442" i="4" s="1"/>
  <c r="J447" i="4"/>
  <c r="I442" i="4"/>
  <c r="K442" i="4" s="1"/>
  <c r="J441" i="4"/>
  <c r="J424" i="4" s="1"/>
  <c r="J413" i="4" s="1"/>
  <c r="I441" i="4"/>
  <c r="K441" i="4" s="1"/>
  <c r="J434" i="4"/>
  <c r="I434" i="4"/>
  <c r="K434" i="4" s="1"/>
  <c r="J433" i="4"/>
  <c r="I433" i="4"/>
  <c r="K433" i="4" s="1"/>
  <c r="J426" i="4"/>
  <c r="I426" i="4"/>
  <c r="K426" i="4" s="1"/>
  <c r="J425" i="4"/>
  <c r="I425" i="4"/>
  <c r="K425" i="4" s="1"/>
  <c r="U422" i="4"/>
  <c r="T422" i="4"/>
  <c r="P422" i="4"/>
  <c r="O422" i="4"/>
  <c r="U421" i="4"/>
  <c r="T421" i="4"/>
  <c r="P421" i="4"/>
  <c r="O421" i="4"/>
  <c r="S420" i="4"/>
  <c r="R420" i="4"/>
  <c r="U420" i="4" s="1"/>
  <c r="Q420" i="4"/>
  <c r="T420" i="4" s="1"/>
  <c r="N420" i="4"/>
  <c r="M420" i="4"/>
  <c r="P420" i="4" s="1"/>
  <c r="L420" i="4"/>
  <c r="O420" i="4" s="1"/>
  <c r="S419" i="4"/>
  <c r="S417" i="4" s="1"/>
  <c r="R419" i="4"/>
  <c r="R417" i="4" s="1"/>
  <c r="U417" i="4" s="1"/>
  <c r="Q419" i="4"/>
  <c r="Q417" i="4" s="1"/>
  <c r="T417" i="4" s="1"/>
  <c r="P419" i="4"/>
  <c r="O419" i="4"/>
  <c r="U418" i="4"/>
  <c r="T418" i="4"/>
  <c r="P418" i="4"/>
  <c r="O418" i="4"/>
  <c r="O417" i="4"/>
  <c r="N417" i="4"/>
  <c r="M417" i="4"/>
  <c r="P417" i="4" s="1"/>
  <c r="L417" i="4"/>
  <c r="P416" i="4"/>
  <c r="N416" i="4"/>
  <c r="M416" i="4"/>
  <c r="L416" i="4"/>
  <c r="O416" i="4" s="1"/>
  <c r="U415" i="4"/>
  <c r="T415" i="4"/>
  <c r="S415" i="4"/>
  <c r="R415" i="4"/>
  <c r="Q415" i="4"/>
  <c r="P415" i="4"/>
  <c r="O415" i="4"/>
  <c r="N415" i="4"/>
  <c r="N414" i="4" s="1"/>
  <c r="M415" i="4"/>
  <c r="L415" i="4"/>
  <c r="P414" i="4"/>
  <c r="M414" i="4"/>
  <c r="U401" i="4"/>
  <c r="T401" i="4"/>
  <c r="P401" i="4"/>
  <c r="O401" i="4"/>
  <c r="U400" i="4"/>
  <c r="T400" i="4"/>
  <c r="P400" i="4"/>
  <c r="O400" i="4"/>
  <c r="S399" i="4"/>
  <c r="R399" i="4"/>
  <c r="U399" i="4" s="1"/>
  <c r="Q399" i="4"/>
  <c r="T399" i="4" s="1"/>
  <c r="N399" i="4"/>
  <c r="M399" i="4"/>
  <c r="P399" i="4" s="1"/>
  <c r="L399" i="4"/>
  <c r="O399" i="4" s="1"/>
  <c r="U398" i="4"/>
  <c r="T398" i="4"/>
  <c r="P398" i="4"/>
  <c r="O398" i="4"/>
  <c r="U397" i="4"/>
  <c r="T397" i="4"/>
  <c r="P397" i="4"/>
  <c r="O397" i="4"/>
  <c r="U396" i="4"/>
  <c r="S396" i="4"/>
  <c r="R396" i="4"/>
  <c r="Q396" i="4"/>
  <c r="T396" i="4" s="1"/>
  <c r="P396" i="4"/>
  <c r="N396" i="4"/>
  <c r="M396" i="4"/>
  <c r="L396" i="4"/>
  <c r="O396" i="4" s="1"/>
  <c r="U395" i="4"/>
  <c r="T395" i="4"/>
  <c r="S395" i="4"/>
  <c r="R395" i="4"/>
  <c r="Q395" i="4"/>
  <c r="P395" i="4"/>
  <c r="O395" i="4"/>
  <c r="N395" i="4"/>
  <c r="M395" i="4"/>
  <c r="L395" i="4"/>
  <c r="T394" i="4"/>
  <c r="S394" i="4"/>
  <c r="S393" i="4" s="1"/>
  <c r="R394" i="4"/>
  <c r="Q394" i="4"/>
  <c r="N394" i="4"/>
  <c r="M394" i="4"/>
  <c r="P394" i="4" s="1"/>
  <c r="L394" i="4"/>
  <c r="Q393" i="4"/>
  <c r="T393" i="4" s="1"/>
  <c r="N393" i="4"/>
  <c r="J392" i="4"/>
  <c r="I392" i="4"/>
  <c r="K392" i="4" s="1"/>
  <c r="J389" i="4"/>
  <c r="I389" i="4"/>
  <c r="K389" i="4" s="1"/>
  <c r="K388" i="4"/>
  <c r="J388" i="4"/>
  <c r="J387" i="4"/>
  <c r="I387" i="4"/>
  <c r="K386" i="4"/>
  <c r="J386" i="4"/>
  <c r="U384" i="4"/>
  <c r="T384" i="4"/>
  <c r="P384" i="4"/>
  <c r="O384" i="4"/>
  <c r="U383" i="4"/>
  <c r="T383" i="4"/>
  <c r="P383" i="4"/>
  <c r="O383" i="4"/>
  <c r="U382" i="4"/>
  <c r="S382" i="4"/>
  <c r="R382" i="4"/>
  <c r="Q382" i="4"/>
  <c r="T382" i="4" s="1"/>
  <c r="P382" i="4"/>
  <c r="O382" i="4"/>
  <c r="N382" i="4"/>
  <c r="M382" i="4"/>
  <c r="L382" i="4"/>
  <c r="S381" i="4"/>
  <c r="R381" i="4"/>
  <c r="Q381" i="4"/>
  <c r="P381" i="4"/>
  <c r="O381" i="4"/>
  <c r="U380" i="4"/>
  <c r="T380" i="4"/>
  <c r="P380" i="4"/>
  <c r="O380" i="4"/>
  <c r="N379" i="4"/>
  <c r="M379" i="4"/>
  <c r="P379" i="4" s="1"/>
  <c r="L379" i="4"/>
  <c r="O379" i="4" s="1"/>
  <c r="P378" i="4"/>
  <c r="N378" i="4"/>
  <c r="M378" i="4"/>
  <c r="L378" i="4"/>
  <c r="O378" i="4" s="1"/>
  <c r="U377" i="4"/>
  <c r="T377" i="4"/>
  <c r="S377" i="4"/>
  <c r="R377" i="4"/>
  <c r="Q377" i="4"/>
  <c r="P377" i="4"/>
  <c r="O377" i="4"/>
  <c r="N377" i="4"/>
  <c r="N376" i="4" s="1"/>
  <c r="M377" i="4"/>
  <c r="L377" i="4"/>
  <c r="M376" i="4"/>
  <c r="P376" i="4" s="1"/>
  <c r="L376" i="4"/>
  <c r="O376" i="4" s="1"/>
  <c r="D374" i="4"/>
  <c r="K373" i="4"/>
  <c r="J373" i="4"/>
  <c r="J372" i="4"/>
  <c r="J366" i="4" s="1"/>
  <c r="I372" i="4"/>
  <c r="K371" i="4"/>
  <c r="J371" i="4"/>
  <c r="J370" i="4"/>
  <c r="I370" i="4"/>
  <c r="J369" i="4"/>
  <c r="I369" i="4"/>
  <c r="K368" i="4"/>
  <c r="J368" i="4"/>
  <c r="U365" i="4"/>
  <c r="T365" i="4"/>
  <c r="N365" i="4"/>
  <c r="M365" i="4"/>
  <c r="P365" i="4" s="1"/>
  <c r="L365" i="4"/>
  <c r="U364" i="4"/>
  <c r="T364" i="4"/>
  <c r="P364" i="4"/>
  <c r="O364" i="4"/>
  <c r="U363" i="4"/>
  <c r="T363" i="4"/>
  <c r="S363" i="4"/>
  <c r="R363" i="4"/>
  <c r="Q363" i="4"/>
  <c r="N363" i="4"/>
  <c r="U362" i="4"/>
  <c r="T362" i="4"/>
  <c r="N362" i="4"/>
  <c r="M362" i="4"/>
  <c r="M360" i="4" s="1"/>
  <c r="L362" i="4"/>
  <c r="L360" i="4" s="1"/>
  <c r="U361" i="4"/>
  <c r="T361" i="4"/>
  <c r="P361" i="4"/>
  <c r="O361" i="4"/>
  <c r="S360" i="4"/>
  <c r="R360" i="4"/>
  <c r="U360" i="4" s="1"/>
  <c r="Q360" i="4"/>
  <c r="T360" i="4" s="1"/>
  <c r="U359" i="4"/>
  <c r="T359" i="4"/>
  <c r="S359" i="4"/>
  <c r="R359" i="4"/>
  <c r="Q359" i="4"/>
  <c r="T358" i="4"/>
  <c r="S358" i="4"/>
  <c r="S357" i="4" s="1"/>
  <c r="R358" i="4"/>
  <c r="Q358" i="4"/>
  <c r="N358" i="4"/>
  <c r="M358" i="4"/>
  <c r="L358" i="4"/>
  <c r="Q357" i="4"/>
  <c r="T357" i="4" s="1"/>
  <c r="D355" i="4"/>
  <c r="J354" i="4"/>
  <c r="J353" i="4"/>
  <c r="D351" i="4"/>
  <c r="J350" i="4"/>
  <c r="J349" i="4"/>
  <c r="J348" i="4"/>
  <c r="J347" i="4"/>
  <c r="I347" i="4"/>
  <c r="J345" i="4"/>
  <c r="I345" i="4"/>
  <c r="U342" i="4"/>
  <c r="T342" i="4"/>
  <c r="N342" i="4"/>
  <c r="N340" i="4" s="1"/>
  <c r="M342" i="4"/>
  <c r="L342" i="4"/>
  <c r="U341" i="4"/>
  <c r="T341" i="4"/>
  <c r="P341" i="4"/>
  <c r="O341" i="4"/>
  <c r="S340" i="4"/>
  <c r="R340" i="4"/>
  <c r="U340" i="4" s="1"/>
  <c r="Q340" i="4"/>
  <c r="T340" i="4" s="1"/>
  <c r="U339" i="4"/>
  <c r="T339" i="4"/>
  <c r="N339" i="4"/>
  <c r="N337" i="4" s="1"/>
  <c r="M339" i="4"/>
  <c r="M337" i="4" s="1"/>
  <c r="L339" i="4"/>
  <c r="L337" i="4" s="1"/>
  <c r="U338" i="4"/>
  <c r="T338" i="4"/>
  <c r="P338" i="4"/>
  <c r="O338" i="4"/>
  <c r="U337" i="4"/>
  <c r="S337" i="4"/>
  <c r="R337" i="4"/>
  <c r="Q337" i="4"/>
  <c r="T337" i="4" s="1"/>
  <c r="U336" i="4"/>
  <c r="T336" i="4"/>
  <c r="S336" i="4"/>
  <c r="R336" i="4"/>
  <c r="Q336" i="4"/>
  <c r="U335" i="4"/>
  <c r="S335" i="4"/>
  <c r="R335" i="4"/>
  <c r="Q335" i="4"/>
  <c r="T335" i="4" s="1"/>
  <c r="P335" i="4"/>
  <c r="O335" i="4"/>
  <c r="N335" i="4"/>
  <c r="M335" i="4"/>
  <c r="L335" i="4"/>
  <c r="T334" i="4"/>
  <c r="S334" i="4"/>
  <c r="Q334" i="4"/>
  <c r="I331" i="4"/>
  <c r="U329" i="4"/>
  <c r="T329" i="4"/>
  <c r="N329" i="4"/>
  <c r="N327" i="4" s="1"/>
  <c r="M329" i="4"/>
  <c r="L329" i="4"/>
  <c r="U328" i="4"/>
  <c r="T328" i="4"/>
  <c r="P328" i="4"/>
  <c r="O328" i="4"/>
  <c r="U327" i="4"/>
  <c r="S327" i="4"/>
  <c r="R327" i="4"/>
  <c r="Q327" i="4"/>
  <c r="T327" i="4" s="1"/>
  <c r="U326" i="4"/>
  <c r="T326" i="4"/>
  <c r="N326" i="4"/>
  <c r="M326" i="4"/>
  <c r="P326" i="4" s="1"/>
  <c r="L326" i="4"/>
  <c r="O326" i="4" s="1"/>
  <c r="U325" i="4"/>
  <c r="T325" i="4"/>
  <c r="P325" i="4"/>
  <c r="O325" i="4"/>
  <c r="T324" i="4"/>
  <c r="S324" i="4"/>
  <c r="R324" i="4"/>
  <c r="U324" i="4" s="1"/>
  <c r="Q324" i="4"/>
  <c r="T323" i="4"/>
  <c r="S323" i="4"/>
  <c r="R323" i="4"/>
  <c r="U323" i="4" s="1"/>
  <c r="Q323" i="4"/>
  <c r="U322" i="4"/>
  <c r="S322" i="4"/>
  <c r="R322" i="4"/>
  <c r="Q322" i="4"/>
  <c r="P322" i="4"/>
  <c r="O322" i="4"/>
  <c r="N322" i="4"/>
  <c r="M322" i="4"/>
  <c r="L322" i="4"/>
  <c r="U321" i="4"/>
  <c r="S321" i="4"/>
  <c r="R321" i="4"/>
  <c r="J320" i="4"/>
  <c r="I315" i="4"/>
  <c r="U312" i="4"/>
  <c r="T312" i="4"/>
  <c r="N312" i="4"/>
  <c r="N310" i="4" s="1"/>
  <c r="M312" i="4"/>
  <c r="M310" i="4" s="1"/>
  <c r="P310" i="4" s="1"/>
  <c r="L312" i="4"/>
  <c r="U311" i="4"/>
  <c r="T311" i="4"/>
  <c r="P311" i="4"/>
  <c r="O311" i="4"/>
  <c r="S310" i="4"/>
  <c r="R310" i="4"/>
  <c r="U310" i="4" s="1"/>
  <c r="Q310" i="4"/>
  <c r="T310" i="4" s="1"/>
  <c r="S309" i="4"/>
  <c r="R309" i="4"/>
  <c r="R307" i="4" s="1"/>
  <c r="Q309" i="4"/>
  <c r="Q306" i="4" s="1"/>
  <c r="N309" i="4"/>
  <c r="M309" i="4"/>
  <c r="L309" i="4"/>
  <c r="U308" i="4"/>
  <c r="T308" i="4"/>
  <c r="P308" i="4"/>
  <c r="O308" i="4"/>
  <c r="S305" i="4"/>
  <c r="R305" i="4"/>
  <c r="U305" i="4" s="1"/>
  <c r="Q305" i="4"/>
  <c r="P305" i="4"/>
  <c r="N305" i="4"/>
  <c r="M305" i="4"/>
  <c r="L305" i="4"/>
  <c r="O305" i="4" s="1"/>
  <c r="J303" i="4"/>
  <c r="I297" i="4"/>
  <c r="K297" i="4" s="1"/>
  <c r="I296" i="4"/>
  <c r="K296" i="4" s="1"/>
  <c r="J294" i="4"/>
  <c r="J281" i="4" s="1"/>
  <c r="I294" i="4"/>
  <c r="I293" i="4"/>
  <c r="K293" i="4" s="1"/>
  <c r="U291" i="4"/>
  <c r="T291" i="4"/>
  <c r="N291" i="4"/>
  <c r="N289" i="4" s="1"/>
  <c r="M291" i="4"/>
  <c r="M289" i="4" s="1"/>
  <c r="P289" i="4" s="1"/>
  <c r="L291" i="4"/>
  <c r="O291" i="4" s="1"/>
  <c r="U290" i="4"/>
  <c r="T290" i="4"/>
  <c r="P290" i="4"/>
  <c r="O290" i="4"/>
  <c r="S289" i="4"/>
  <c r="R289" i="4"/>
  <c r="U289" i="4" s="1"/>
  <c r="Q289" i="4"/>
  <c r="T289" i="4" s="1"/>
  <c r="U288" i="4"/>
  <c r="T288" i="4"/>
  <c r="N288" i="4"/>
  <c r="M288" i="4"/>
  <c r="M286" i="4" s="1"/>
  <c r="P286" i="4" s="1"/>
  <c r="L288" i="4"/>
  <c r="U287" i="4"/>
  <c r="T287" i="4"/>
  <c r="P287" i="4"/>
  <c r="O287" i="4"/>
  <c r="T286" i="4"/>
  <c r="S286" i="4"/>
  <c r="R286" i="4"/>
  <c r="U286" i="4" s="1"/>
  <c r="Q286" i="4"/>
  <c r="U285" i="4"/>
  <c r="T285" i="4"/>
  <c r="S285" i="4"/>
  <c r="R285" i="4"/>
  <c r="R283" i="4" s="1"/>
  <c r="U283" i="4" s="1"/>
  <c r="Q285" i="4"/>
  <c r="S284" i="4"/>
  <c r="S283" i="4" s="1"/>
  <c r="R284" i="4"/>
  <c r="U284" i="4" s="1"/>
  <c r="Q284" i="4"/>
  <c r="P284" i="4"/>
  <c r="N284" i="4"/>
  <c r="M284" i="4"/>
  <c r="L284" i="4"/>
  <c r="O284" i="4" s="1"/>
  <c r="J282" i="4"/>
  <c r="I277" i="4"/>
  <c r="I266" i="4" s="1"/>
  <c r="K266" i="4" s="1"/>
  <c r="U275" i="4"/>
  <c r="T275" i="4"/>
  <c r="N275" i="4"/>
  <c r="M275" i="4"/>
  <c r="P275" i="4" s="1"/>
  <c r="L275" i="4"/>
  <c r="U274" i="4"/>
  <c r="T274" i="4"/>
  <c r="P274" i="4"/>
  <c r="O274" i="4"/>
  <c r="U273" i="4"/>
  <c r="T273" i="4"/>
  <c r="S273" i="4"/>
  <c r="R273" i="4"/>
  <c r="Q273" i="4"/>
  <c r="S272" i="4"/>
  <c r="R272" i="4"/>
  <c r="Q272" i="4"/>
  <c r="N272" i="4"/>
  <c r="N270" i="4" s="1"/>
  <c r="M272" i="4"/>
  <c r="L272" i="4"/>
  <c r="U271" i="4"/>
  <c r="T271" i="4"/>
  <c r="P271" i="4"/>
  <c r="O271" i="4"/>
  <c r="M270" i="4"/>
  <c r="U268" i="4"/>
  <c r="S268" i="4"/>
  <c r="R268" i="4"/>
  <c r="Q268" i="4"/>
  <c r="T268" i="4" s="1"/>
  <c r="O268" i="4"/>
  <c r="N268" i="4"/>
  <c r="M268" i="4"/>
  <c r="L268" i="4"/>
  <c r="J266" i="4"/>
  <c r="K264" i="4"/>
  <c r="K263" i="4"/>
  <c r="I261" i="4"/>
  <c r="L259" i="4"/>
  <c r="L258" i="4"/>
  <c r="L257" i="4"/>
  <c r="L256" i="4"/>
  <c r="P255" i="4"/>
  <c r="N255" i="4"/>
  <c r="J254" i="4"/>
  <c r="K253" i="4"/>
  <c r="K252" i="4"/>
  <c r="I250" i="4"/>
  <c r="L248" i="4"/>
  <c r="L247" i="4"/>
  <c r="L246" i="4"/>
  <c r="L245" i="4"/>
  <c r="P244" i="4"/>
  <c r="N244" i="4"/>
  <c r="N233" i="4" s="1"/>
  <c r="J243" i="4"/>
  <c r="K242" i="4"/>
  <c r="J242" i="4"/>
  <c r="I242" i="4"/>
  <c r="K241" i="4"/>
  <c r="J241" i="4"/>
  <c r="I241" i="4"/>
  <c r="J239" i="4"/>
  <c r="N237" i="4"/>
  <c r="N236" i="4"/>
  <c r="N235" i="4"/>
  <c r="N234" i="4"/>
  <c r="I231" i="4"/>
  <c r="K231" i="4" s="1"/>
  <c r="I230" i="4"/>
  <c r="K230" i="4" s="1"/>
  <c r="I229" i="4"/>
  <c r="K229" i="4" s="1"/>
  <c r="L226" i="4"/>
  <c r="L225" i="4"/>
  <c r="L224" i="4"/>
  <c r="P223" i="4"/>
  <c r="N223" i="4"/>
  <c r="J222" i="4"/>
  <c r="I221" i="4"/>
  <c r="I220" i="4"/>
  <c r="K220" i="4" s="1"/>
  <c r="L218" i="4"/>
  <c r="L217" i="4"/>
  <c r="L216" i="4"/>
  <c r="P215" i="4"/>
  <c r="N215" i="4"/>
  <c r="J214" i="4"/>
  <c r="I213" i="4"/>
  <c r="K213" i="4" s="1"/>
  <c r="I212" i="4"/>
  <c r="K212" i="4" s="1"/>
  <c r="I210" i="4"/>
  <c r="L208" i="4"/>
  <c r="L207" i="4"/>
  <c r="L206" i="4"/>
  <c r="L205" i="4"/>
  <c r="P204" i="4"/>
  <c r="N204" i="4"/>
  <c r="J203" i="4"/>
  <c r="J200" i="4"/>
  <c r="I199" i="4"/>
  <c r="I196" i="4" s="1"/>
  <c r="P197" i="4"/>
  <c r="L197" i="4"/>
  <c r="O197" i="4" s="1"/>
  <c r="J196" i="4"/>
  <c r="U195" i="4"/>
  <c r="T195" i="4"/>
  <c r="N195" i="4"/>
  <c r="M195" i="4"/>
  <c r="L195" i="4"/>
  <c r="U194" i="4"/>
  <c r="T194" i="4"/>
  <c r="P194" i="4"/>
  <c r="O194" i="4"/>
  <c r="T193" i="4"/>
  <c r="S193" i="4"/>
  <c r="R193" i="4"/>
  <c r="U193" i="4" s="1"/>
  <c r="Q193" i="4"/>
  <c r="S192" i="4"/>
  <c r="S189" i="4" s="1"/>
  <c r="S187" i="4" s="1"/>
  <c r="R192" i="4"/>
  <c r="Q192" i="4"/>
  <c r="Q189" i="4" s="1"/>
  <c r="N192" i="4"/>
  <c r="N190" i="4" s="1"/>
  <c r="M192" i="4"/>
  <c r="M190" i="4" s="1"/>
  <c r="L192" i="4"/>
  <c r="U191" i="4"/>
  <c r="T191" i="4"/>
  <c r="P191" i="4"/>
  <c r="O191" i="4"/>
  <c r="U188" i="4"/>
  <c r="S188" i="4"/>
  <c r="R188" i="4"/>
  <c r="Q188" i="4"/>
  <c r="P188" i="4"/>
  <c r="O188" i="4"/>
  <c r="N188" i="4"/>
  <c r="M188" i="4"/>
  <c r="L188" i="4"/>
  <c r="K185" i="4"/>
  <c r="I184" i="4"/>
  <c r="K184" i="4" s="1"/>
  <c r="U182" i="4"/>
  <c r="T182" i="4"/>
  <c r="N182" i="4"/>
  <c r="N180" i="4" s="1"/>
  <c r="M182" i="4"/>
  <c r="L182" i="4"/>
  <c r="U181" i="4"/>
  <c r="T181" i="4"/>
  <c r="P181" i="4"/>
  <c r="O181" i="4"/>
  <c r="S180" i="4"/>
  <c r="R180" i="4"/>
  <c r="U180" i="4" s="1"/>
  <c r="Q180" i="4"/>
  <c r="T180" i="4" s="1"/>
  <c r="S179" i="4"/>
  <c r="S177" i="4" s="1"/>
  <c r="R179" i="4"/>
  <c r="R176" i="4" s="1"/>
  <c r="Q179" i="4"/>
  <c r="Q176" i="4" s="1"/>
  <c r="N179" i="4"/>
  <c r="M179" i="4"/>
  <c r="M177" i="4" s="1"/>
  <c r="L179" i="4"/>
  <c r="U178" i="4"/>
  <c r="T178" i="4"/>
  <c r="P178" i="4"/>
  <c r="O178" i="4"/>
  <c r="T175" i="4"/>
  <c r="S175" i="4"/>
  <c r="R175" i="4"/>
  <c r="U175" i="4" s="1"/>
  <c r="Q175" i="4"/>
  <c r="N175" i="4"/>
  <c r="M175" i="4"/>
  <c r="L175" i="4"/>
  <c r="J173" i="4"/>
  <c r="I170" i="4"/>
  <c r="I169" i="4"/>
  <c r="K169" i="4" s="1"/>
  <c r="I168" i="4"/>
  <c r="K168" i="4" s="1"/>
  <c r="U166" i="4"/>
  <c r="T166" i="4"/>
  <c r="N166" i="4"/>
  <c r="N164" i="4" s="1"/>
  <c r="M166" i="4"/>
  <c r="M164" i="4" s="1"/>
  <c r="P164" i="4" s="1"/>
  <c r="L166" i="4"/>
  <c r="O166" i="4" s="1"/>
  <c r="U165" i="4"/>
  <c r="T165" i="4"/>
  <c r="P165" i="4"/>
  <c r="O165" i="4"/>
  <c r="S164" i="4"/>
  <c r="R164" i="4"/>
  <c r="U164" i="4" s="1"/>
  <c r="Q164" i="4"/>
  <c r="T164" i="4" s="1"/>
  <c r="S163" i="4"/>
  <c r="S161" i="4" s="1"/>
  <c r="R163" i="4"/>
  <c r="U163" i="4" s="1"/>
  <c r="Q163" i="4"/>
  <c r="Q161" i="4" s="1"/>
  <c r="T161" i="4" s="1"/>
  <c r="N163" i="4"/>
  <c r="M163" i="4"/>
  <c r="M161" i="4" s="1"/>
  <c r="P161" i="4" s="1"/>
  <c r="L163" i="4"/>
  <c r="O163" i="4" s="1"/>
  <c r="U162" i="4"/>
  <c r="T162" i="4"/>
  <c r="P162" i="4"/>
  <c r="O162" i="4"/>
  <c r="T159" i="4"/>
  <c r="S159" i="4"/>
  <c r="R159" i="4"/>
  <c r="Q159" i="4"/>
  <c r="N159" i="4"/>
  <c r="M159" i="4"/>
  <c r="L159" i="4"/>
  <c r="O159" i="4" s="1"/>
  <c r="J157" i="4"/>
  <c r="I155" i="4"/>
  <c r="I137" i="4" s="1"/>
  <c r="K137" i="4" s="1"/>
  <c r="I154" i="4"/>
  <c r="I153" i="4"/>
  <c r="I138" i="4" s="1"/>
  <c r="K138" i="4" s="1"/>
  <c r="I152" i="4"/>
  <c r="K152" i="4" s="1"/>
  <c r="I151" i="4"/>
  <c r="K151" i="4" s="1"/>
  <c r="U148" i="4"/>
  <c r="T148" i="4"/>
  <c r="N148" i="4"/>
  <c r="M148" i="4"/>
  <c r="M146" i="4" s="1"/>
  <c r="P146" i="4" s="1"/>
  <c r="L148" i="4"/>
  <c r="U147" i="4"/>
  <c r="T147" i="4"/>
  <c r="P147" i="4"/>
  <c r="O147" i="4"/>
  <c r="T146" i="4"/>
  <c r="S146" i="4"/>
  <c r="R146" i="4"/>
  <c r="U146" i="4" s="1"/>
  <c r="Q146" i="4"/>
  <c r="S145" i="4"/>
  <c r="S143" i="4" s="1"/>
  <c r="R145" i="4"/>
  <c r="Q145" i="4"/>
  <c r="Q143" i="4" s="1"/>
  <c r="T143" i="4" s="1"/>
  <c r="N145" i="4"/>
  <c r="N143" i="4" s="1"/>
  <c r="M145" i="4"/>
  <c r="M143" i="4" s="1"/>
  <c r="L145" i="4"/>
  <c r="U144" i="4"/>
  <c r="T144" i="4"/>
  <c r="P144" i="4"/>
  <c r="O144" i="4"/>
  <c r="S141" i="4"/>
  <c r="R141" i="4"/>
  <c r="U141" i="4" s="1"/>
  <c r="Q141" i="4"/>
  <c r="P141" i="4"/>
  <c r="N141" i="4"/>
  <c r="M141" i="4"/>
  <c r="L141" i="4"/>
  <c r="O141" i="4" s="1"/>
  <c r="J139" i="4"/>
  <c r="J138" i="4"/>
  <c r="J137" i="4"/>
  <c r="I131" i="4"/>
  <c r="K131" i="4" s="1"/>
  <c r="I130" i="4"/>
  <c r="K130" i="4" s="1"/>
  <c r="I129" i="4"/>
  <c r="K129" i="4" s="1"/>
  <c r="I128" i="4"/>
  <c r="K128" i="4" s="1"/>
  <c r="U126" i="4"/>
  <c r="T126" i="4"/>
  <c r="N126" i="4"/>
  <c r="M126" i="4"/>
  <c r="M124" i="4" s="1"/>
  <c r="P124" i="4" s="1"/>
  <c r="L126" i="4"/>
  <c r="O126" i="4" s="1"/>
  <c r="U125" i="4"/>
  <c r="T125" i="4"/>
  <c r="P125" i="4"/>
  <c r="O125" i="4"/>
  <c r="T124" i="4"/>
  <c r="S124" i="4"/>
  <c r="R124" i="4"/>
  <c r="U124" i="4" s="1"/>
  <c r="Q124" i="4"/>
  <c r="S123" i="4"/>
  <c r="S121" i="4" s="1"/>
  <c r="R123" i="4"/>
  <c r="R121" i="4" s="1"/>
  <c r="Q123" i="4"/>
  <c r="Q120" i="4" s="1"/>
  <c r="N123" i="4"/>
  <c r="N121" i="4" s="1"/>
  <c r="M123" i="4"/>
  <c r="L123" i="4"/>
  <c r="U122" i="4"/>
  <c r="T122" i="4"/>
  <c r="P122" i="4"/>
  <c r="O122" i="4"/>
  <c r="T119" i="4"/>
  <c r="S119" i="4"/>
  <c r="R119" i="4"/>
  <c r="U119" i="4" s="1"/>
  <c r="Q119" i="4"/>
  <c r="P119" i="4"/>
  <c r="N119" i="4"/>
  <c r="M119" i="4"/>
  <c r="L119" i="4"/>
  <c r="O119" i="4" s="1"/>
  <c r="J117" i="4"/>
  <c r="I115" i="4"/>
  <c r="K115" i="4" s="1"/>
  <c r="I110" i="4"/>
  <c r="K110" i="4" s="1"/>
  <c r="I109" i="4"/>
  <c r="I93" i="4" s="1"/>
  <c r="K93" i="4" s="1"/>
  <c r="U103" i="4"/>
  <c r="T103" i="4"/>
  <c r="N103" i="4"/>
  <c r="N101" i="4" s="1"/>
  <c r="M103" i="4"/>
  <c r="M101" i="4" s="1"/>
  <c r="P101" i="4" s="1"/>
  <c r="L103" i="4"/>
  <c r="L101" i="4" s="1"/>
  <c r="O101" i="4" s="1"/>
  <c r="U102" i="4"/>
  <c r="T102" i="4"/>
  <c r="P102" i="4"/>
  <c r="O102" i="4"/>
  <c r="T101" i="4"/>
  <c r="S101" i="4"/>
  <c r="R101" i="4"/>
  <c r="U101" i="4" s="1"/>
  <c r="Q101" i="4"/>
  <c r="S100" i="4"/>
  <c r="S98" i="4" s="1"/>
  <c r="R100" i="4"/>
  <c r="R97" i="4" s="1"/>
  <c r="Q100" i="4"/>
  <c r="T100" i="4" s="1"/>
  <c r="N100" i="4"/>
  <c r="M100" i="4"/>
  <c r="M98" i="4" s="1"/>
  <c r="P98" i="4" s="1"/>
  <c r="L100" i="4"/>
  <c r="L98" i="4" s="1"/>
  <c r="O98" i="4" s="1"/>
  <c r="U99" i="4"/>
  <c r="T99" i="4"/>
  <c r="P99" i="4"/>
  <c r="O99" i="4"/>
  <c r="S96" i="4"/>
  <c r="R96" i="4"/>
  <c r="U96" i="4" s="1"/>
  <c r="Q96" i="4"/>
  <c r="P96" i="4"/>
  <c r="N96" i="4"/>
  <c r="M96" i="4"/>
  <c r="L96" i="4"/>
  <c r="O96" i="4" s="1"/>
  <c r="J94" i="4"/>
  <c r="J93" i="4"/>
  <c r="I91" i="4"/>
  <c r="K91" i="4" s="1"/>
  <c r="I90" i="4"/>
  <c r="K90" i="4" s="1"/>
  <c r="I89" i="4"/>
  <c r="K89" i="4" s="1"/>
  <c r="I88" i="4"/>
  <c r="K88" i="4" s="1"/>
  <c r="I87" i="4"/>
  <c r="K87" i="4" s="1"/>
  <c r="I86" i="4"/>
  <c r="I85" i="4"/>
  <c r="J84" i="4"/>
  <c r="J72" i="4" s="1"/>
  <c r="J83" i="4"/>
  <c r="U81" i="4"/>
  <c r="T81" i="4"/>
  <c r="N81" i="4"/>
  <c r="N79" i="4" s="1"/>
  <c r="M81" i="4"/>
  <c r="P81" i="4" s="1"/>
  <c r="L81" i="4"/>
  <c r="U80" i="4"/>
  <c r="T80" i="4"/>
  <c r="P80" i="4"/>
  <c r="O80" i="4"/>
  <c r="U79" i="4"/>
  <c r="T79" i="4"/>
  <c r="S79" i="4"/>
  <c r="R79" i="4"/>
  <c r="Q79" i="4"/>
  <c r="S78" i="4"/>
  <c r="S76" i="4" s="1"/>
  <c r="R78" i="4"/>
  <c r="Q78" i="4"/>
  <c r="Q75" i="4" s="1"/>
  <c r="T75" i="4" s="1"/>
  <c r="N78" i="4"/>
  <c r="N76" i="4" s="1"/>
  <c r="M78" i="4"/>
  <c r="P78" i="4" s="1"/>
  <c r="L78" i="4"/>
  <c r="U77" i="4"/>
  <c r="T77" i="4"/>
  <c r="P77" i="4"/>
  <c r="O77" i="4"/>
  <c r="U74" i="4"/>
  <c r="S74" i="4"/>
  <c r="R74" i="4"/>
  <c r="Q74" i="4"/>
  <c r="T74" i="4" s="1"/>
  <c r="P74" i="4"/>
  <c r="O74" i="4"/>
  <c r="N74" i="4"/>
  <c r="M74" i="4"/>
  <c r="L74" i="4"/>
  <c r="J71" i="4"/>
  <c r="U68" i="4"/>
  <c r="T68" i="4"/>
  <c r="N68" i="4"/>
  <c r="M68" i="4"/>
  <c r="M66" i="4" s="1"/>
  <c r="P66" i="4" s="1"/>
  <c r="L68" i="4"/>
  <c r="O68" i="4" s="1"/>
  <c r="U67" i="4"/>
  <c r="T67" i="4"/>
  <c r="P67" i="4"/>
  <c r="O67" i="4"/>
  <c r="S66" i="4"/>
  <c r="R66" i="4"/>
  <c r="U66" i="4" s="1"/>
  <c r="Q66" i="4"/>
  <c r="T66" i="4" s="1"/>
  <c r="U65" i="4"/>
  <c r="T65" i="4"/>
  <c r="N65" i="4"/>
  <c r="N63" i="4" s="1"/>
  <c r="M65" i="4"/>
  <c r="M62" i="4" s="1"/>
  <c r="M60" i="4" s="1"/>
  <c r="L65" i="4"/>
  <c r="U64" i="4"/>
  <c r="T64" i="4"/>
  <c r="P64" i="4"/>
  <c r="O64" i="4"/>
  <c r="U63" i="4"/>
  <c r="T63" i="4"/>
  <c r="S63" i="4"/>
  <c r="R63" i="4"/>
  <c r="Q63" i="4"/>
  <c r="S62" i="4"/>
  <c r="R62" i="4"/>
  <c r="Q62" i="4"/>
  <c r="T62" i="4" s="1"/>
  <c r="U61" i="4"/>
  <c r="S61" i="4"/>
  <c r="R61" i="4"/>
  <c r="Q61" i="4"/>
  <c r="T61" i="4" s="1"/>
  <c r="P61" i="4"/>
  <c r="O61" i="4"/>
  <c r="N61" i="4"/>
  <c r="M61" i="4"/>
  <c r="L61" i="4"/>
  <c r="S60" i="4"/>
  <c r="U53" i="4"/>
  <c r="T53" i="4"/>
  <c r="N53" i="4"/>
  <c r="M53" i="4"/>
  <c r="M51" i="4" s="1"/>
  <c r="P51" i="4" s="1"/>
  <c r="L53" i="4"/>
  <c r="L51" i="4" s="1"/>
  <c r="O51" i="4" s="1"/>
  <c r="U52" i="4"/>
  <c r="T52" i="4"/>
  <c r="P52" i="4"/>
  <c r="O52" i="4"/>
  <c r="S51" i="4"/>
  <c r="R51" i="4"/>
  <c r="U51" i="4" s="1"/>
  <c r="Q51" i="4"/>
  <c r="T51" i="4" s="1"/>
  <c r="U50" i="4"/>
  <c r="T50" i="4"/>
  <c r="N50" i="4"/>
  <c r="N48" i="4" s="1"/>
  <c r="M50" i="4"/>
  <c r="M47" i="4" s="1"/>
  <c r="M45" i="4" s="1"/>
  <c r="L50" i="4"/>
  <c r="L47" i="4" s="1"/>
  <c r="U49" i="4"/>
  <c r="T49" i="4"/>
  <c r="P49" i="4"/>
  <c r="O49" i="4"/>
  <c r="U48" i="4"/>
  <c r="T48" i="4"/>
  <c r="S48" i="4"/>
  <c r="R48" i="4"/>
  <c r="Q48" i="4"/>
  <c r="S47" i="4"/>
  <c r="R47" i="4"/>
  <c r="Q47" i="4"/>
  <c r="U46" i="4"/>
  <c r="S46" i="4"/>
  <c r="R46" i="4"/>
  <c r="Q46" i="4"/>
  <c r="T46" i="4" s="1"/>
  <c r="P46" i="4"/>
  <c r="O46" i="4"/>
  <c r="N46" i="4"/>
  <c r="M46" i="4"/>
  <c r="L46" i="4"/>
  <c r="S45" i="4"/>
  <c r="S27" i="4"/>
  <c r="R27" i="4"/>
  <c r="U27" i="4" s="1"/>
  <c r="Q27" i="4"/>
  <c r="U26" i="4"/>
  <c r="T26" i="4"/>
  <c r="S26" i="4"/>
  <c r="R26" i="4"/>
  <c r="Q26" i="4"/>
  <c r="P26" i="4"/>
  <c r="O26" i="4"/>
  <c r="N26" i="4"/>
  <c r="M26" i="4"/>
  <c r="L26" i="4"/>
  <c r="S25" i="4"/>
  <c r="R25" i="4"/>
  <c r="U25" i="4" s="1"/>
  <c r="U23" i="4"/>
  <c r="T23" i="4"/>
  <c r="S23" i="4"/>
  <c r="R23" i="4"/>
  <c r="Q23" i="4"/>
  <c r="P23" i="4"/>
  <c r="O23" i="4"/>
  <c r="N23" i="4"/>
  <c r="N20" i="4" s="1"/>
  <c r="M23" i="4"/>
  <c r="L23" i="4"/>
  <c r="U20" i="4"/>
  <c r="T20" i="4"/>
  <c r="S20" i="4"/>
  <c r="R20" i="4"/>
  <c r="Q20" i="4"/>
  <c r="P20" i="4"/>
  <c r="O20" i="4"/>
  <c r="M20" i="4"/>
  <c r="L20" i="4"/>
  <c r="A790" i="3"/>
  <c r="A789" i="3"/>
  <c r="J786" i="3"/>
  <c r="I786" i="3"/>
  <c r="J785" i="3"/>
  <c r="I785" i="3"/>
  <c r="J784" i="3"/>
  <c r="I784" i="3"/>
  <c r="K784" i="3" s="1"/>
  <c r="J783" i="3"/>
  <c r="I783" i="3"/>
  <c r="K783" i="3" s="1"/>
  <c r="J782" i="3"/>
  <c r="I782" i="3"/>
  <c r="J781" i="3"/>
  <c r="I781" i="3"/>
  <c r="J780" i="3"/>
  <c r="I780" i="3"/>
  <c r="J779" i="3"/>
  <c r="I779" i="3"/>
  <c r="H778" i="3"/>
  <c r="I777" i="3"/>
  <c r="I776" i="3"/>
  <c r="I775" i="3"/>
  <c r="I773" i="3"/>
  <c r="K773" i="3" s="1"/>
  <c r="I771" i="3"/>
  <c r="K771" i="3" s="1"/>
  <c r="U769" i="3"/>
  <c r="T769" i="3"/>
  <c r="P769" i="3"/>
  <c r="O769" i="3"/>
  <c r="U768" i="3"/>
  <c r="T768" i="3"/>
  <c r="P768" i="3"/>
  <c r="O768" i="3"/>
  <c r="U767" i="3"/>
  <c r="S767" i="3"/>
  <c r="R767" i="3"/>
  <c r="Q767" i="3"/>
  <c r="T767" i="3" s="1"/>
  <c r="O767" i="3"/>
  <c r="N767" i="3"/>
  <c r="M767" i="3"/>
  <c r="P767" i="3" s="1"/>
  <c r="L767" i="3"/>
  <c r="S766" i="3"/>
  <c r="S764" i="3" s="1"/>
  <c r="R766" i="3"/>
  <c r="R764" i="3" s="1"/>
  <c r="Q766" i="3"/>
  <c r="Q764" i="3" s="1"/>
  <c r="P766" i="3"/>
  <c r="O766" i="3"/>
  <c r="U765" i="3"/>
  <c r="T765" i="3"/>
  <c r="P765" i="3"/>
  <c r="O765" i="3"/>
  <c r="P764" i="3"/>
  <c r="N764" i="3"/>
  <c r="M764" i="3"/>
  <c r="L764" i="3"/>
  <c r="O764" i="3" s="1"/>
  <c r="P763" i="3"/>
  <c r="N763" i="3"/>
  <c r="M763" i="3"/>
  <c r="L763" i="3"/>
  <c r="T762" i="3"/>
  <c r="S762" i="3"/>
  <c r="R762" i="3"/>
  <c r="U762" i="3" s="1"/>
  <c r="Q762" i="3"/>
  <c r="P762" i="3"/>
  <c r="N762" i="3"/>
  <c r="M762" i="3"/>
  <c r="M761" i="3" s="1"/>
  <c r="P761" i="3" s="1"/>
  <c r="L762" i="3"/>
  <c r="O762" i="3" s="1"/>
  <c r="N761" i="3"/>
  <c r="J760" i="3"/>
  <c r="J759" i="3"/>
  <c r="I756" i="3"/>
  <c r="K756" i="3" s="1"/>
  <c r="I753" i="3"/>
  <c r="K753" i="3" s="1"/>
  <c r="I750" i="3"/>
  <c r="K750" i="3" s="1"/>
  <c r="I747" i="3"/>
  <c r="K747" i="3" s="1"/>
  <c r="I745" i="3"/>
  <c r="K745" i="3" s="1"/>
  <c r="I743" i="3"/>
  <c r="K743" i="3" s="1"/>
  <c r="I741" i="3"/>
  <c r="K741" i="3" s="1"/>
  <c r="U737" i="3"/>
  <c r="T737" i="3"/>
  <c r="P737" i="3"/>
  <c r="O737" i="3"/>
  <c r="U736" i="3"/>
  <c r="T736" i="3"/>
  <c r="P736" i="3"/>
  <c r="O736" i="3"/>
  <c r="T735" i="3"/>
  <c r="S735" i="3"/>
  <c r="R735" i="3"/>
  <c r="U735" i="3" s="1"/>
  <c r="Q735" i="3"/>
  <c r="P735" i="3"/>
  <c r="N735" i="3"/>
  <c r="M735" i="3"/>
  <c r="L735" i="3"/>
  <c r="O735" i="3" s="1"/>
  <c r="S734" i="3"/>
  <c r="S732" i="3" s="1"/>
  <c r="R734" i="3"/>
  <c r="R732" i="3" s="1"/>
  <c r="Q734" i="3"/>
  <c r="Q732" i="3" s="1"/>
  <c r="P734" i="3"/>
  <c r="O734" i="3"/>
  <c r="U733" i="3"/>
  <c r="T733" i="3"/>
  <c r="P733" i="3"/>
  <c r="O733" i="3"/>
  <c r="O732" i="3"/>
  <c r="N732" i="3"/>
  <c r="M732" i="3"/>
  <c r="P732" i="3" s="1"/>
  <c r="L732" i="3"/>
  <c r="O731" i="3"/>
  <c r="N731" i="3"/>
  <c r="M731" i="3"/>
  <c r="P731" i="3" s="1"/>
  <c r="L731" i="3"/>
  <c r="U730" i="3"/>
  <c r="S730" i="3"/>
  <c r="R730" i="3"/>
  <c r="Q730" i="3"/>
  <c r="T730" i="3" s="1"/>
  <c r="O730" i="3"/>
  <c r="N730" i="3"/>
  <c r="N729" i="3" s="1"/>
  <c r="M730" i="3"/>
  <c r="P730" i="3" s="1"/>
  <c r="L730" i="3"/>
  <c r="L729" i="3" s="1"/>
  <c r="O729" i="3" s="1"/>
  <c r="M729" i="3"/>
  <c r="P729" i="3" s="1"/>
  <c r="J728" i="3"/>
  <c r="I728" i="3"/>
  <c r="J727" i="3"/>
  <c r="I727" i="3"/>
  <c r="K727" i="3" s="1"/>
  <c r="U723" i="3"/>
  <c r="T723" i="3"/>
  <c r="P723" i="3"/>
  <c r="O723" i="3"/>
  <c r="U722" i="3"/>
  <c r="T722" i="3"/>
  <c r="P722" i="3"/>
  <c r="O722" i="3"/>
  <c r="U721" i="3"/>
  <c r="S721" i="3"/>
  <c r="R721" i="3"/>
  <c r="Q721" i="3"/>
  <c r="T721" i="3" s="1"/>
  <c r="O721" i="3"/>
  <c r="N721" i="3"/>
  <c r="M721" i="3"/>
  <c r="P721" i="3" s="1"/>
  <c r="L721" i="3"/>
  <c r="U720" i="3"/>
  <c r="T720" i="3"/>
  <c r="P720" i="3"/>
  <c r="O720" i="3"/>
  <c r="U719" i="3"/>
  <c r="T719" i="3"/>
  <c r="P719" i="3"/>
  <c r="O719" i="3"/>
  <c r="U718" i="3"/>
  <c r="S718" i="3"/>
  <c r="R718" i="3"/>
  <c r="Q718" i="3"/>
  <c r="T718" i="3" s="1"/>
  <c r="O718" i="3"/>
  <c r="N718" i="3"/>
  <c r="M718" i="3"/>
  <c r="P718" i="3" s="1"/>
  <c r="L718" i="3"/>
  <c r="U717" i="3"/>
  <c r="S717" i="3"/>
  <c r="R717" i="3"/>
  <c r="Q717" i="3"/>
  <c r="O717" i="3"/>
  <c r="N717" i="3"/>
  <c r="M717" i="3"/>
  <c r="P717" i="3" s="1"/>
  <c r="L717" i="3"/>
  <c r="U716" i="3"/>
  <c r="S716" i="3"/>
  <c r="R716" i="3"/>
  <c r="R715" i="3" s="1"/>
  <c r="U715" i="3" s="1"/>
  <c r="Q716" i="3"/>
  <c r="T716" i="3" s="1"/>
  <c r="O716" i="3"/>
  <c r="N716" i="3"/>
  <c r="N715" i="3" s="1"/>
  <c r="M716" i="3"/>
  <c r="P716" i="3" s="1"/>
  <c r="L716" i="3"/>
  <c r="L715" i="3" s="1"/>
  <c r="O715" i="3" s="1"/>
  <c r="S715" i="3"/>
  <c r="M715" i="3"/>
  <c r="P715" i="3" s="1"/>
  <c r="K713" i="3"/>
  <c r="J713" i="3"/>
  <c r="K711" i="3"/>
  <c r="J711" i="3"/>
  <c r="J710" i="3"/>
  <c r="I710" i="3"/>
  <c r="K709" i="3"/>
  <c r="J709" i="3"/>
  <c r="J708" i="3"/>
  <c r="J690" i="3" s="1"/>
  <c r="I708" i="3"/>
  <c r="K707" i="3"/>
  <c r="J707" i="3"/>
  <c r="J706" i="3"/>
  <c r="I706" i="3"/>
  <c r="K705" i="3"/>
  <c r="J705" i="3"/>
  <c r="J704" i="3"/>
  <c r="I704" i="3"/>
  <c r="K704" i="3" s="1"/>
  <c r="K703" i="3"/>
  <c r="I701" i="3"/>
  <c r="K701" i="3" s="1"/>
  <c r="U699" i="3"/>
  <c r="T699" i="3"/>
  <c r="P699" i="3"/>
  <c r="O699" i="3"/>
  <c r="U698" i="3"/>
  <c r="T698" i="3"/>
  <c r="P698" i="3"/>
  <c r="O698" i="3"/>
  <c r="T697" i="3"/>
  <c r="S697" i="3"/>
  <c r="R697" i="3"/>
  <c r="U697" i="3" s="1"/>
  <c r="Q697" i="3"/>
  <c r="P697" i="3"/>
  <c r="N697" i="3"/>
  <c r="M697" i="3"/>
  <c r="L697" i="3"/>
  <c r="O697" i="3" s="1"/>
  <c r="S696" i="3"/>
  <c r="R696" i="3"/>
  <c r="R694" i="3" s="1"/>
  <c r="Q696" i="3"/>
  <c r="Q694" i="3" s="1"/>
  <c r="P696" i="3"/>
  <c r="O696" i="3"/>
  <c r="U695" i="3"/>
  <c r="T695" i="3"/>
  <c r="P695" i="3"/>
  <c r="O695" i="3"/>
  <c r="O694" i="3"/>
  <c r="N694" i="3"/>
  <c r="M694" i="3"/>
  <c r="P694" i="3" s="1"/>
  <c r="L694" i="3"/>
  <c r="O693" i="3"/>
  <c r="N693" i="3"/>
  <c r="M693" i="3"/>
  <c r="L693" i="3"/>
  <c r="U692" i="3"/>
  <c r="S692" i="3"/>
  <c r="R692" i="3"/>
  <c r="Q692" i="3"/>
  <c r="O692" i="3"/>
  <c r="N692" i="3"/>
  <c r="N691" i="3" s="1"/>
  <c r="M692" i="3"/>
  <c r="P692" i="3" s="1"/>
  <c r="L692" i="3"/>
  <c r="O691" i="3"/>
  <c r="L691" i="3"/>
  <c r="J683" i="3"/>
  <c r="I683" i="3"/>
  <c r="K683" i="3" s="1"/>
  <c r="J682" i="3"/>
  <c r="I682" i="3"/>
  <c r="K682" i="3" s="1"/>
  <c r="J681" i="3"/>
  <c r="J680" i="3"/>
  <c r="I680" i="3"/>
  <c r="K680" i="3" s="1"/>
  <c r="J679" i="3"/>
  <c r="I679" i="3"/>
  <c r="K679" i="3" s="1"/>
  <c r="J678" i="3"/>
  <c r="J677" i="3"/>
  <c r="I677" i="3"/>
  <c r="K677" i="3" s="1"/>
  <c r="I676" i="3"/>
  <c r="K676" i="3" s="1"/>
  <c r="I675" i="3"/>
  <c r="K675" i="3" s="1"/>
  <c r="J674" i="3"/>
  <c r="I674" i="3"/>
  <c r="K674" i="3" s="1"/>
  <c r="J673" i="3"/>
  <c r="J672" i="3"/>
  <c r="J662" i="3"/>
  <c r="I662" i="3"/>
  <c r="K662" i="3" s="1"/>
  <c r="I661" i="3"/>
  <c r="I658" i="3"/>
  <c r="J655" i="3"/>
  <c r="I655" i="3"/>
  <c r="K655" i="3" s="1"/>
  <c r="J654" i="3"/>
  <c r="I654" i="3"/>
  <c r="K654" i="3" s="1"/>
  <c r="J653" i="3"/>
  <c r="I653" i="3"/>
  <c r="K653" i="3" s="1"/>
  <c r="U651" i="3"/>
  <c r="T651" i="3"/>
  <c r="P651" i="3"/>
  <c r="O651" i="3"/>
  <c r="U650" i="3"/>
  <c r="T650" i="3"/>
  <c r="P650" i="3"/>
  <c r="O650" i="3"/>
  <c r="T649" i="3"/>
  <c r="S649" i="3"/>
  <c r="R649" i="3"/>
  <c r="U649" i="3" s="1"/>
  <c r="Q649" i="3"/>
  <c r="P649" i="3"/>
  <c r="N649" i="3"/>
  <c r="M649" i="3"/>
  <c r="L649" i="3"/>
  <c r="O649" i="3" s="1"/>
  <c r="S648" i="3"/>
  <c r="R648" i="3"/>
  <c r="U648" i="3" s="1"/>
  <c r="Q648" i="3"/>
  <c r="T648" i="3" s="1"/>
  <c r="P648" i="3"/>
  <c r="O648" i="3"/>
  <c r="U647" i="3"/>
  <c r="T647" i="3"/>
  <c r="P647" i="3"/>
  <c r="O647" i="3"/>
  <c r="O646" i="3"/>
  <c r="N646" i="3"/>
  <c r="M646" i="3"/>
  <c r="P646" i="3" s="1"/>
  <c r="L646" i="3"/>
  <c r="O645" i="3"/>
  <c r="N645" i="3"/>
  <c r="M645" i="3"/>
  <c r="L645" i="3"/>
  <c r="U644" i="3"/>
  <c r="S644" i="3"/>
  <c r="R644" i="3"/>
  <c r="Q644" i="3"/>
  <c r="O644" i="3"/>
  <c r="N644" i="3"/>
  <c r="N643" i="3" s="1"/>
  <c r="M644" i="3"/>
  <c r="P644" i="3" s="1"/>
  <c r="L644" i="3"/>
  <c r="O643" i="3"/>
  <c r="L643" i="3"/>
  <c r="J637" i="3"/>
  <c r="J636" i="3"/>
  <c r="I636" i="3"/>
  <c r="K636" i="3" s="1"/>
  <c r="J633" i="3"/>
  <c r="I629" i="3"/>
  <c r="K629" i="3" s="1"/>
  <c r="I628" i="3"/>
  <c r="K628" i="3" s="1"/>
  <c r="J627" i="3"/>
  <c r="I627" i="3"/>
  <c r="K631" i="3" s="1"/>
  <c r="U625" i="3"/>
  <c r="T625" i="3"/>
  <c r="P625" i="3"/>
  <c r="O625" i="3"/>
  <c r="U624" i="3"/>
  <c r="T624" i="3"/>
  <c r="P624" i="3"/>
  <c r="O624" i="3"/>
  <c r="U623" i="3"/>
  <c r="S623" i="3"/>
  <c r="R623" i="3"/>
  <c r="Q623" i="3"/>
  <c r="T623" i="3" s="1"/>
  <c r="O623" i="3"/>
  <c r="N623" i="3"/>
  <c r="M623" i="3"/>
  <c r="P623" i="3" s="1"/>
  <c r="L623" i="3"/>
  <c r="S622" i="3"/>
  <c r="S619" i="3" s="1"/>
  <c r="S617" i="3" s="1"/>
  <c r="R622" i="3"/>
  <c r="R619" i="3" s="1"/>
  <c r="Q622" i="3"/>
  <c r="Q619" i="3" s="1"/>
  <c r="P622" i="3"/>
  <c r="O622" i="3"/>
  <c r="U621" i="3"/>
  <c r="T621" i="3"/>
  <c r="P621" i="3"/>
  <c r="O621" i="3"/>
  <c r="P620" i="3"/>
  <c r="N620" i="3"/>
  <c r="M620" i="3"/>
  <c r="L620" i="3"/>
  <c r="O620" i="3" s="1"/>
  <c r="P619" i="3"/>
  <c r="N619" i="3"/>
  <c r="M619" i="3"/>
  <c r="L619" i="3"/>
  <c r="O619" i="3" s="1"/>
  <c r="T618" i="3"/>
  <c r="S618" i="3"/>
  <c r="R618" i="3"/>
  <c r="Q618" i="3"/>
  <c r="P618" i="3"/>
  <c r="N618" i="3"/>
  <c r="M618" i="3"/>
  <c r="L618" i="3"/>
  <c r="O618" i="3" s="1"/>
  <c r="N617" i="3"/>
  <c r="M617" i="3"/>
  <c r="P617" i="3" s="1"/>
  <c r="J616" i="3"/>
  <c r="U608" i="3"/>
  <c r="T608" i="3"/>
  <c r="P608" i="3"/>
  <c r="O608" i="3"/>
  <c r="U607" i="3"/>
  <c r="T607" i="3"/>
  <c r="P607" i="3"/>
  <c r="O607" i="3"/>
  <c r="U606" i="3"/>
  <c r="S606" i="3"/>
  <c r="R606" i="3"/>
  <c r="Q606" i="3"/>
  <c r="T606" i="3" s="1"/>
  <c r="O606" i="3"/>
  <c r="N606" i="3"/>
  <c r="M606" i="3"/>
  <c r="P606" i="3" s="1"/>
  <c r="L606" i="3"/>
  <c r="U605" i="3"/>
  <c r="T605" i="3"/>
  <c r="P605" i="3"/>
  <c r="O605" i="3"/>
  <c r="U604" i="3"/>
  <c r="T604" i="3"/>
  <c r="P604" i="3"/>
  <c r="O604" i="3"/>
  <c r="U603" i="3"/>
  <c r="S603" i="3"/>
  <c r="R603" i="3"/>
  <c r="Q603" i="3"/>
  <c r="T603" i="3" s="1"/>
  <c r="P603" i="3"/>
  <c r="O603" i="3"/>
  <c r="N603" i="3"/>
  <c r="M603" i="3"/>
  <c r="L603" i="3"/>
  <c r="U602" i="3"/>
  <c r="T602" i="3"/>
  <c r="S602" i="3"/>
  <c r="R602" i="3"/>
  <c r="Q602" i="3"/>
  <c r="O602" i="3"/>
  <c r="N602" i="3"/>
  <c r="M602" i="3"/>
  <c r="P602" i="3" s="1"/>
  <c r="L602" i="3"/>
  <c r="S601" i="3"/>
  <c r="S600" i="3" s="1"/>
  <c r="R601" i="3"/>
  <c r="R600" i="3" s="1"/>
  <c r="Q601" i="3"/>
  <c r="T601" i="3" s="1"/>
  <c r="O601" i="3"/>
  <c r="N601" i="3"/>
  <c r="N600" i="3" s="1"/>
  <c r="M601" i="3"/>
  <c r="P601" i="3" s="1"/>
  <c r="L601" i="3"/>
  <c r="L600" i="3" s="1"/>
  <c r="O600" i="3" s="1"/>
  <c r="U600" i="3"/>
  <c r="Q600" i="3"/>
  <c r="T600" i="3" s="1"/>
  <c r="P600" i="3"/>
  <c r="M600" i="3"/>
  <c r="U585" i="3"/>
  <c r="T585" i="3"/>
  <c r="P585" i="3"/>
  <c r="O585" i="3"/>
  <c r="U584" i="3"/>
  <c r="T584" i="3"/>
  <c r="P584" i="3"/>
  <c r="O584" i="3"/>
  <c r="U583" i="3"/>
  <c r="S583" i="3"/>
  <c r="R583" i="3"/>
  <c r="Q583" i="3"/>
  <c r="T583" i="3" s="1"/>
  <c r="P583" i="3"/>
  <c r="O583" i="3"/>
  <c r="N583" i="3"/>
  <c r="M583" i="3"/>
  <c r="L583" i="3"/>
  <c r="U582" i="3"/>
  <c r="T582" i="3"/>
  <c r="P582" i="3"/>
  <c r="O582" i="3"/>
  <c r="U581" i="3"/>
  <c r="T581" i="3"/>
  <c r="P581" i="3"/>
  <c r="O581" i="3"/>
  <c r="U580" i="3"/>
  <c r="S580" i="3"/>
  <c r="R580" i="3"/>
  <c r="Q580" i="3"/>
  <c r="T580" i="3" s="1"/>
  <c r="O580" i="3"/>
  <c r="N580" i="3"/>
  <c r="M580" i="3"/>
  <c r="P580" i="3" s="1"/>
  <c r="L580" i="3"/>
  <c r="U579" i="3"/>
  <c r="S579" i="3"/>
  <c r="R579" i="3"/>
  <c r="Q579" i="3"/>
  <c r="T579" i="3" s="1"/>
  <c r="O579" i="3"/>
  <c r="N579" i="3"/>
  <c r="M579" i="3"/>
  <c r="P579" i="3" s="1"/>
  <c r="L579" i="3"/>
  <c r="S578" i="3"/>
  <c r="S577" i="3" s="1"/>
  <c r="R578" i="3"/>
  <c r="R577" i="3" s="1"/>
  <c r="Q578" i="3"/>
  <c r="T578" i="3" s="1"/>
  <c r="N578" i="3"/>
  <c r="N577" i="3" s="1"/>
  <c r="M578" i="3"/>
  <c r="P578" i="3" s="1"/>
  <c r="L578" i="3"/>
  <c r="L577" i="3" s="1"/>
  <c r="O577" i="3" s="1"/>
  <c r="U577" i="3"/>
  <c r="P577" i="3"/>
  <c r="M577" i="3"/>
  <c r="K576" i="3"/>
  <c r="J576" i="3"/>
  <c r="I576" i="3"/>
  <c r="U564" i="3"/>
  <c r="T564" i="3"/>
  <c r="P564" i="3"/>
  <c r="O564" i="3"/>
  <c r="U563" i="3"/>
  <c r="T563" i="3"/>
  <c r="P563" i="3"/>
  <c r="O563" i="3"/>
  <c r="T562" i="3"/>
  <c r="S562" i="3"/>
  <c r="R562" i="3"/>
  <c r="U562" i="3" s="1"/>
  <c r="Q562" i="3"/>
  <c r="P562" i="3"/>
  <c r="N562" i="3"/>
  <c r="M562" i="3"/>
  <c r="L562" i="3"/>
  <c r="O562" i="3" s="1"/>
  <c r="U561" i="3"/>
  <c r="T561" i="3"/>
  <c r="P561" i="3"/>
  <c r="O561" i="3"/>
  <c r="U560" i="3"/>
  <c r="T560" i="3"/>
  <c r="P560" i="3"/>
  <c r="O560" i="3"/>
  <c r="T559" i="3"/>
  <c r="S559" i="3"/>
  <c r="R559" i="3"/>
  <c r="U559" i="3" s="1"/>
  <c r="Q559" i="3"/>
  <c r="N559" i="3"/>
  <c r="M559" i="3"/>
  <c r="P559" i="3" s="1"/>
  <c r="L559" i="3"/>
  <c r="O559" i="3" s="1"/>
  <c r="T558" i="3"/>
  <c r="S558" i="3"/>
  <c r="R558" i="3"/>
  <c r="U558" i="3" s="1"/>
  <c r="Q558" i="3"/>
  <c r="P558" i="3"/>
  <c r="N558" i="3"/>
  <c r="M558" i="3"/>
  <c r="L558" i="3"/>
  <c r="O558" i="3" s="1"/>
  <c r="T557" i="3"/>
  <c r="S557" i="3"/>
  <c r="R557" i="3"/>
  <c r="U557" i="3" s="1"/>
  <c r="Q557" i="3"/>
  <c r="Q556" i="3" s="1"/>
  <c r="P557" i="3"/>
  <c r="N557" i="3"/>
  <c r="M557" i="3"/>
  <c r="L557" i="3"/>
  <c r="O557" i="3" s="1"/>
  <c r="T556" i="3"/>
  <c r="S556" i="3"/>
  <c r="P556" i="3"/>
  <c r="N556" i="3"/>
  <c r="M556" i="3"/>
  <c r="J555" i="3"/>
  <c r="I555" i="3"/>
  <c r="K555" i="3" s="1"/>
  <c r="U543" i="3"/>
  <c r="T543" i="3"/>
  <c r="P543" i="3"/>
  <c r="O543" i="3"/>
  <c r="U542" i="3"/>
  <c r="T542" i="3"/>
  <c r="P542" i="3"/>
  <c r="O542" i="3"/>
  <c r="U541" i="3"/>
  <c r="S541" i="3"/>
  <c r="R541" i="3"/>
  <c r="Q541" i="3"/>
  <c r="T541" i="3" s="1"/>
  <c r="O541" i="3"/>
  <c r="N541" i="3"/>
  <c r="M541" i="3"/>
  <c r="P541" i="3" s="1"/>
  <c r="L541" i="3"/>
  <c r="U540" i="3"/>
  <c r="T540" i="3"/>
  <c r="P540" i="3"/>
  <c r="O540" i="3"/>
  <c r="U539" i="3"/>
  <c r="T539" i="3"/>
  <c r="P539" i="3"/>
  <c r="O539" i="3"/>
  <c r="U538" i="3"/>
  <c r="S538" i="3"/>
  <c r="R538" i="3"/>
  <c r="Q538" i="3"/>
  <c r="T538" i="3" s="1"/>
  <c r="O538" i="3"/>
  <c r="N538" i="3"/>
  <c r="M538" i="3"/>
  <c r="P538" i="3" s="1"/>
  <c r="L538" i="3"/>
  <c r="U537" i="3"/>
  <c r="S537" i="3"/>
  <c r="R537" i="3"/>
  <c r="Q537" i="3"/>
  <c r="T537" i="3" s="1"/>
  <c r="O537" i="3"/>
  <c r="N537" i="3"/>
  <c r="M537" i="3"/>
  <c r="P537" i="3" s="1"/>
  <c r="L537" i="3"/>
  <c r="U536" i="3"/>
  <c r="S536" i="3"/>
  <c r="R536" i="3"/>
  <c r="R535" i="3" s="1"/>
  <c r="Q536" i="3"/>
  <c r="T536" i="3" s="1"/>
  <c r="N536" i="3"/>
  <c r="M536" i="3"/>
  <c r="P536" i="3" s="1"/>
  <c r="L536" i="3"/>
  <c r="L535" i="3" s="1"/>
  <c r="U535" i="3"/>
  <c r="S535" i="3"/>
  <c r="O535" i="3"/>
  <c r="K534" i="3"/>
  <c r="J534" i="3"/>
  <c r="I534" i="3"/>
  <c r="K525" i="3"/>
  <c r="K524" i="3"/>
  <c r="U522" i="3"/>
  <c r="T522" i="3"/>
  <c r="N522" i="3"/>
  <c r="N520" i="3" s="1"/>
  <c r="M522" i="3"/>
  <c r="M520" i="3" s="1"/>
  <c r="P520" i="3" s="1"/>
  <c r="L522" i="3"/>
  <c r="O522" i="3" s="1"/>
  <c r="U521" i="3"/>
  <c r="T521" i="3"/>
  <c r="P521" i="3"/>
  <c r="O521" i="3"/>
  <c r="U520" i="3"/>
  <c r="T520" i="3"/>
  <c r="S520" i="3"/>
  <c r="R520" i="3"/>
  <c r="Q520" i="3"/>
  <c r="U519" i="3"/>
  <c r="T519" i="3"/>
  <c r="N519" i="3"/>
  <c r="N517" i="3" s="1"/>
  <c r="M519" i="3"/>
  <c r="M517" i="3" s="1"/>
  <c r="P517" i="3" s="1"/>
  <c r="L519" i="3"/>
  <c r="U518" i="3"/>
  <c r="T518" i="3"/>
  <c r="P518" i="3"/>
  <c r="O518" i="3"/>
  <c r="U517" i="3"/>
  <c r="S517" i="3"/>
  <c r="R517" i="3"/>
  <c r="Q517" i="3"/>
  <c r="T517" i="3" s="1"/>
  <c r="T516" i="3"/>
  <c r="S516" i="3"/>
  <c r="R516" i="3"/>
  <c r="U516" i="3" s="1"/>
  <c r="Q516" i="3"/>
  <c r="S515" i="3"/>
  <c r="R515" i="3"/>
  <c r="U515" i="3" s="1"/>
  <c r="Q515" i="3"/>
  <c r="Q514" i="3" s="1"/>
  <c r="T514" i="3" s="1"/>
  <c r="N515" i="3"/>
  <c r="M515" i="3"/>
  <c r="L515" i="3"/>
  <c r="O515" i="3" s="1"/>
  <c r="J513" i="3"/>
  <c r="I513" i="3"/>
  <c r="K513" i="3" s="1"/>
  <c r="I510" i="3"/>
  <c r="K510" i="3" s="1"/>
  <c r="K509" i="3"/>
  <c r="I508" i="3"/>
  <c r="K508" i="3" s="1"/>
  <c r="I507" i="3"/>
  <c r="K507" i="3" s="1"/>
  <c r="I506" i="3"/>
  <c r="K506" i="3" s="1"/>
  <c r="I505" i="3"/>
  <c r="K505" i="3" s="1"/>
  <c r="I504" i="3"/>
  <c r="I493" i="3" s="1"/>
  <c r="U502" i="3"/>
  <c r="T502" i="3"/>
  <c r="P502" i="3"/>
  <c r="O502" i="3"/>
  <c r="U501" i="3"/>
  <c r="T501" i="3"/>
  <c r="P501" i="3"/>
  <c r="O501" i="3"/>
  <c r="U500" i="3"/>
  <c r="T500" i="3"/>
  <c r="S500" i="3"/>
  <c r="R500" i="3"/>
  <c r="Q500" i="3"/>
  <c r="P500" i="3"/>
  <c r="O500" i="3"/>
  <c r="N500" i="3"/>
  <c r="M500" i="3"/>
  <c r="L500" i="3"/>
  <c r="S499" i="3"/>
  <c r="S496" i="3" s="1"/>
  <c r="S494" i="3" s="1"/>
  <c r="R499" i="3"/>
  <c r="Q499" i="3"/>
  <c r="Q497" i="3" s="1"/>
  <c r="P499" i="3"/>
  <c r="O499" i="3"/>
  <c r="U498" i="3"/>
  <c r="T498" i="3"/>
  <c r="P498" i="3"/>
  <c r="O498" i="3"/>
  <c r="P497" i="3"/>
  <c r="N497" i="3"/>
  <c r="M497" i="3"/>
  <c r="L497" i="3"/>
  <c r="O497" i="3" s="1"/>
  <c r="P496" i="3"/>
  <c r="N496" i="3"/>
  <c r="M496" i="3"/>
  <c r="L496" i="3"/>
  <c r="O496" i="3" s="1"/>
  <c r="T495" i="3"/>
  <c r="S495" i="3"/>
  <c r="R495" i="3"/>
  <c r="Q495" i="3"/>
  <c r="P495" i="3"/>
  <c r="N495" i="3"/>
  <c r="M495" i="3"/>
  <c r="M494" i="3" s="1"/>
  <c r="P494" i="3" s="1"/>
  <c r="L495" i="3"/>
  <c r="N494" i="3"/>
  <c r="K486" i="3"/>
  <c r="J486" i="3"/>
  <c r="I486" i="3"/>
  <c r="K485" i="3"/>
  <c r="J485" i="3"/>
  <c r="I485" i="3"/>
  <c r="J484" i="3"/>
  <c r="J483" i="3"/>
  <c r="K478" i="3"/>
  <c r="J478" i="3"/>
  <c r="K477" i="3"/>
  <c r="J477" i="3"/>
  <c r="K476" i="3"/>
  <c r="J476" i="3"/>
  <c r="J469" i="3"/>
  <c r="J459" i="3" s="1"/>
  <c r="J468" i="3"/>
  <c r="J458" i="3" s="1"/>
  <c r="J457" i="3" s="1"/>
  <c r="J461" i="3"/>
  <c r="J460" i="3"/>
  <c r="I459" i="3"/>
  <c r="K459" i="3" s="1"/>
  <c r="I458" i="3"/>
  <c r="I457" i="3" s="1"/>
  <c r="K457" i="3" s="1"/>
  <c r="J448" i="3"/>
  <c r="J442" i="3" s="1"/>
  <c r="J447" i="3"/>
  <c r="I442" i="3"/>
  <c r="K442" i="3" s="1"/>
  <c r="J441" i="3"/>
  <c r="I441" i="3"/>
  <c r="K441" i="3" s="1"/>
  <c r="J434" i="3"/>
  <c r="I434" i="3"/>
  <c r="K434" i="3" s="1"/>
  <c r="J433" i="3"/>
  <c r="I433" i="3"/>
  <c r="K433" i="3" s="1"/>
  <c r="J426" i="3"/>
  <c r="I426" i="3"/>
  <c r="K426" i="3" s="1"/>
  <c r="J425" i="3"/>
  <c r="I425" i="3"/>
  <c r="K425" i="3" s="1"/>
  <c r="J424" i="3"/>
  <c r="U422" i="3"/>
  <c r="T422" i="3"/>
  <c r="P422" i="3"/>
  <c r="O422" i="3"/>
  <c r="U421" i="3"/>
  <c r="T421" i="3"/>
  <c r="P421" i="3"/>
  <c r="O421" i="3"/>
  <c r="U420" i="3"/>
  <c r="S420" i="3"/>
  <c r="R420" i="3"/>
  <c r="Q420" i="3"/>
  <c r="T420" i="3" s="1"/>
  <c r="P420" i="3"/>
  <c r="N420" i="3"/>
  <c r="M420" i="3"/>
  <c r="L420" i="3"/>
  <c r="O420" i="3" s="1"/>
  <c r="S419" i="3"/>
  <c r="S417" i="3" s="1"/>
  <c r="R419" i="3"/>
  <c r="Q419" i="3"/>
  <c r="Q417" i="3" s="1"/>
  <c r="T417" i="3" s="1"/>
  <c r="P419" i="3"/>
  <c r="O419" i="3"/>
  <c r="U418" i="3"/>
  <c r="T418" i="3"/>
  <c r="P418" i="3"/>
  <c r="O418" i="3"/>
  <c r="P417" i="3"/>
  <c r="O417" i="3"/>
  <c r="N417" i="3"/>
  <c r="M417" i="3"/>
  <c r="L417" i="3"/>
  <c r="P416" i="3"/>
  <c r="N416" i="3"/>
  <c r="M416" i="3"/>
  <c r="L416" i="3"/>
  <c r="U415" i="3"/>
  <c r="T415" i="3"/>
  <c r="S415" i="3"/>
  <c r="R415" i="3"/>
  <c r="Q415" i="3"/>
  <c r="P415" i="3"/>
  <c r="O415" i="3"/>
  <c r="N415" i="3"/>
  <c r="N414" i="3" s="1"/>
  <c r="M415" i="3"/>
  <c r="L415" i="3"/>
  <c r="M414" i="3"/>
  <c r="P414" i="3" s="1"/>
  <c r="J413" i="3"/>
  <c r="U401" i="3"/>
  <c r="T401" i="3"/>
  <c r="P401" i="3"/>
  <c r="O401" i="3"/>
  <c r="U400" i="3"/>
  <c r="T400" i="3"/>
  <c r="P400" i="3"/>
  <c r="O400" i="3"/>
  <c r="U399" i="3"/>
  <c r="S399" i="3"/>
  <c r="R399" i="3"/>
  <c r="Q399" i="3"/>
  <c r="T399" i="3" s="1"/>
  <c r="N399" i="3"/>
  <c r="M399" i="3"/>
  <c r="P399" i="3" s="1"/>
  <c r="L399" i="3"/>
  <c r="O399" i="3" s="1"/>
  <c r="U398" i="3"/>
  <c r="T398" i="3"/>
  <c r="P398" i="3"/>
  <c r="O398" i="3"/>
  <c r="U397" i="3"/>
  <c r="T397" i="3"/>
  <c r="P397" i="3"/>
  <c r="O397" i="3"/>
  <c r="U396" i="3"/>
  <c r="S396" i="3"/>
  <c r="R396" i="3"/>
  <c r="Q396" i="3"/>
  <c r="T396" i="3" s="1"/>
  <c r="N396" i="3"/>
  <c r="M396" i="3"/>
  <c r="P396" i="3" s="1"/>
  <c r="L396" i="3"/>
  <c r="O396" i="3" s="1"/>
  <c r="U395" i="3"/>
  <c r="S395" i="3"/>
  <c r="R395" i="3"/>
  <c r="Q395" i="3"/>
  <c r="T395" i="3" s="1"/>
  <c r="P395" i="3"/>
  <c r="O395" i="3"/>
  <c r="N395" i="3"/>
  <c r="M395" i="3"/>
  <c r="L395" i="3"/>
  <c r="U394" i="3"/>
  <c r="T394" i="3"/>
  <c r="S394" i="3"/>
  <c r="S393" i="3" s="1"/>
  <c r="R394" i="3"/>
  <c r="R393" i="3" s="1"/>
  <c r="U393" i="3" s="1"/>
  <c r="Q394" i="3"/>
  <c r="N394" i="3"/>
  <c r="N393" i="3" s="1"/>
  <c r="M394" i="3"/>
  <c r="P394" i="3" s="1"/>
  <c r="L394" i="3"/>
  <c r="O394" i="3" s="1"/>
  <c r="Q393" i="3"/>
  <c r="T393" i="3" s="1"/>
  <c r="K392" i="3"/>
  <c r="J392" i="3"/>
  <c r="I392" i="3"/>
  <c r="J389" i="3"/>
  <c r="I389" i="3"/>
  <c r="K389" i="3" s="1"/>
  <c r="K388" i="3"/>
  <c r="J388" i="3"/>
  <c r="J387" i="3"/>
  <c r="I387" i="3"/>
  <c r="K386" i="3"/>
  <c r="J386" i="3"/>
  <c r="U384" i="3"/>
  <c r="T384" i="3"/>
  <c r="P384" i="3"/>
  <c r="O384" i="3"/>
  <c r="U383" i="3"/>
  <c r="T383" i="3"/>
  <c r="P383" i="3"/>
  <c r="O383" i="3"/>
  <c r="S382" i="3"/>
  <c r="R382" i="3"/>
  <c r="U382" i="3" s="1"/>
  <c r="Q382" i="3"/>
  <c r="T382" i="3" s="1"/>
  <c r="P382" i="3"/>
  <c r="N382" i="3"/>
  <c r="M382" i="3"/>
  <c r="L382" i="3"/>
  <c r="O382" i="3" s="1"/>
  <c r="S381" i="3"/>
  <c r="S378" i="3" s="1"/>
  <c r="S376" i="3" s="1"/>
  <c r="R381" i="3"/>
  <c r="Q381" i="3"/>
  <c r="Q379" i="3" s="1"/>
  <c r="P381" i="3"/>
  <c r="O381" i="3"/>
  <c r="U380" i="3"/>
  <c r="T380" i="3"/>
  <c r="P380" i="3"/>
  <c r="O380" i="3"/>
  <c r="O379" i="3"/>
  <c r="N379" i="3"/>
  <c r="M379" i="3"/>
  <c r="P379" i="3" s="1"/>
  <c r="L379" i="3"/>
  <c r="N378" i="3"/>
  <c r="M378" i="3"/>
  <c r="L378" i="3"/>
  <c r="O378" i="3" s="1"/>
  <c r="U377" i="3"/>
  <c r="S377" i="3"/>
  <c r="R377" i="3"/>
  <c r="Q377" i="3"/>
  <c r="P377" i="3"/>
  <c r="O377" i="3"/>
  <c r="N377" i="3"/>
  <c r="N376" i="3" s="1"/>
  <c r="M377" i="3"/>
  <c r="L377" i="3"/>
  <c r="O376" i="3"/>
  <c r="L376" i="3"/>
  <c r="D374" i="3"/>
  <c r="K373" i="3"/>
  <c r="J373" i="3"/>
  <c r="J372" i="3"/>
  <c r="J366" i="3" s="1"/>
  <c r="I372" i="3"/>
  <c r="K371" i="3"/>
  <c r="J371" i="3"/>
  <c r="J370" i="3"/>
  <c r="I370" i="3"/>
  <c r="J369" i="3"/>
  <c r="I369" i="3"/>
  <c r="K368" i="3"/>
  <c r="J368" i="3"/>
  <c r="U365" i="3"/>
  <c r="T365" i="3"/>
  <c r="N365" i="3"/>
  <c r="N363" i="3" s="1"/>
  <c r="M365" i="3"/>
  <c r="P365" i="3" s="1"/>
  <c r="L365" i="3"/>
  <c r="L363" i="3" s="1"/>
  <c r="O363" i="3" s="1"/>
  <c r="U364" i="3"/>
  <c r="T364" i="3"/>
  <c r="P364" i="3"/>
  <c r="O364" i="3"/>
  <c r="U363" i="3"/>
  <c r="T363" i="3"/>
  <c r="S363" i="3"/>
  <c r="R363" i="3"/>
  <c r="Q363" i="3"/>
  <c r="U362" i="3"/>
  <c r="T362" i="3"/>
  <c r="N362" i="3"/>
  <c r="M362" i="3"/>
  <c r="M360" i="3" s="1"/>
  <c r="L362" i="3"/>
  <c r="L360" i="3" s="1"/>
  <c r="U361" i="3"/>
  <c r="T361" i="3"/>
  <c r="P361" i="3"/>
  <c r="O361" i="3"/>
  <c r="S360" i="3"/>
  <c r="R360" i="3"/>
  <c r="U360" i="3" s="1"/>
  <c r="Q360" i="3"/>
  <c r="T360" i="3" s="1"/>
  <c r="U359" i="3"/>
  <c r="T359" i="3"/>
  <c r="S359" i="3"/>
  <c r="R359" i="3"/>
  <c r="Q359" i="3"/>
  <c r="Q357" i="3" s="1"/>
  <c r="T357" i="3" s="1"/>
  <c r="T358" i="3"/>
  <c r="S358" i="3"/>
  <c r="R358" i="3"/>
  <c r="Q358" i="3"/>
  <c r="N358" i="3"/>
  <c r="M358" i="3"/>
  <c r="P358" i="3" s="1"/>
  <c r="L358" i="3"/>
  <c r="S357" i="3"/>
  <c r="D355" i="3"/>
  <c r="J354" i="3"/>
  <c r="J353" i="3"/>
  <c r="D351" i="3"/>
  <c r="J350" i="3"/>
  <c r="J349" i="3"/>
  <c r="J348" i="3"/>
  <c r="J347" i="3"/>
  <c r="I347" i="3"/>
  <c r="J345" i="3"/>
  <c r="I345" i="3"/>
  <c r="U342" i="3"/>
  <c r="T342" i="3"/>
  <c r="N342" i="3"/>
  <c r="N340" i="3" s="1"/>
  <c r="M342" i="3"/>
  <c r="L342" i="3"/>
  <c r="L340" i="3" s="1"/>
  <c r="O340" i="3" s="1"/>
  <c r="U341" i="3"/>
  <c r="T341" i="3"/>
  <c r="P341" i="3"/>
  <c r="O341" i="3"/>
  <c r="S340" i="3"/>
  <c r="R340" i="3"/>
  <c r="U340" i="3" s="1"/>
  <c r="Q340" i="3"/>
  <c r="T340" i="3" s="1"/>
  <c r="U339" i="3"/>
  <c r="T339" i="3"/>
  <c r="N339" i="3"/>
  <c r="M339" i="3"/>
  <c r="M337" i="3" s="1"/>
  <c r="L339" i="3"/>
  <c r="L337" i="3" s="1"/>
  <c r="U338" i="3"/>
  <c r="T338" i="3"/>
  <c r="P338" i="3"/>
  <c r="O338" i="3"/>
  <c r="U337" i="3"/>
  <c r="T337" i="3"/>
  <c r="S337" i="3"/>
  <c r="R337" i="3"/>
  <c r="Q337" i="3"/>
  <c r="S336" i="3"/>
  <c r="R336" i="3"/>
  <c r="U336" i="3" s="1"/>
  <c r="Q336" i="3"/>
  <c r="T336" i="3" s="1"/>
  <c r="S335" i="3"/>
  <c r="R335" i="3"/>
  <c r="Q335" i="3"/>
  <c r="P335" i="3"/>
  <c r="O335" i="3"/>
  <c r="N335" i="3"/>
  <c r="M335" i="3"/>
  <c r="L335" i="3"/>
  <c r="S334" i="3"/>
  <c r="I331" i="3"/>
  <c r="U329" i="3"/>
  <c r="T329" i="3"/>
  <c r="N329" i="3"/>
  <c r="M329" i="3"/>
  <c r="L329" i="3"/>
  <c r="U328" i="3"/>
  <c r="T328" i="3"/>
  <c r="P328" i="3"/>
  <c r="O328" i="3"/>
  <c r="S327" i="3"/>
  <c r="R327" i="3"/>
  <c r="U327" i="3" s="1"/>
  <c r="Q327" i="3"/>
  <c r="T327" i="3" s="1"/>
  <c r="U326" i="3"/>
  <c r="T326" i="3"/>
  <c r="N326" i="3"/>
  <c r="N324" i="3" s="1"/>
  <c r="M326" i="3"/>
  <c r="M324" i="3" s="1"/>
  <c r="L326" i="3"/>
  <c r="U325" i="3"/>
  <c r="T325" i="3"/>
  <c r="P325" i="3"/>
  <c r="O325" i="3"/>
  <c r="T324" i="3"/>
  <c r="S324" i="3"/>
  <c r="R324" i="3"/>
  <c r="U324" i="3" s="1"/>
  <c r="Q324" i="3"/>
  <c r="S323" i="3"/>
  <c r="R323" i="3"/>
  <c r="U323" i="3" s="1"/>
  <c r="Q323" i="3"/>
  <c r="T323" i="3" s="1"/>
  <c r="U322" i="3"/>
  <c r="T322" i="3"/>
  <c r="S322" i="3"/>
  <c r="R322" i="3"/>
  <c r="Q322" i="3"/>
  <c r="P322" i="3"/>
  <c r="O322" i="3"/>
  <c r="N322" i="3"/>
  <c r="M322" i="3"/>
  <c r="L322" i="3"/>
  <c r="S321" i="3"/>
  <c r="J320" i="3"/>
  <c r="I315" i="3"/>
  <c r="U312" i="3"/>
  <c r="T312" i="3"/>
  <c r="N312" i="3"/>
  <c r="M312" i="3"/>
  <c r="L312" i="3"/>
  <c r="U311" i="3"/>
  <c r="T311" i="3"/>
  <c r="P311" i="3"/>
  <c r="O311" i="3"/>
  <c r="U310" i="3"/>
  <c r="S310" i="3"/>
  <c r="R310" i="3"/>
  <c r="Q310" i="3"/>
  <c r="T310" i="3" s="1"/>
  <c r="S309" i="3"/>
  <c r="S307" i="3" s="1"/>
  <c r="R309" i="3"/>
  <c r="R306" i="3" s="1"/>
  <c r="Q309" i="3"/>
  <c r="Q307" i="3" s="1"/>
  <c r="N309" i="3"/>
  <c r="N307" i="3" s="1"/>
  <c r="M309" i="3"/>
  <c r="L309" i="3"/>
  <c r="L307" i="3" s="1"/>
  <c r="O307" i="3" s="1"/>
  <c r="U308" i="3"/>
  <c r="T308" i="3"/>
  <c r="P308" i="3"/>
  <c r="O308" i="3"/>
  <c r="S305" i="3"/>
  <c r="R305" i="3"/>
  <c r="Q305" i="3"/>
  <c r="T305" i="3" s="1"/>
  <c r="N305" i="3"/>
  <c r="M305" i="3"/>
  <c r="L305" i="3"/>
  <c r="J303" i="3"/>
  <c r="I297" i="3"/>
  <c r="K297" i="3" s="1"/>
  <c r="I296" i="3"/>
  <c r="K296" i="3" s="1"/>
  <c r="J294" i="3"/>
  <c r="J281" i="3" s="1"/>
  <c r="I294" i="3"/>
  <c r="I293" i="3"/>
  <c r="U291" i="3"/>
  <c r="T291" i="3"/>
  <c r="N291" i="3"/>
  <c r="N289" i="3" s="1"/>
  <c r="M291" i="3"/>
  <c r="P291" i="3" s="1"/>
  <c r="L291" i="3"/>
  <c r="U290" i="3"/>
  <c r="T290" i="3"/>
  <c r="P290" i="3"/>
  <c r="O290" i="3"/>
  <c r="T289" i="3"/>
  <c r="S289" i="3"/>
  <c r="R289" i="3"/>
  <c r="U289" i="3" s="1"/>
  <c r="Q289" i="3"/>
  <c r="U288" i="3"/>
  <c r="T288" i="3"/>
  <c r="N288" i="3"/>
  <c r="M288" i="3"/>
  <c r="L288" i="3"/>
  <c r="L286" i="3" s="1"/>
  <c r="O286" i="3" s="1"/>
  <c r="U287" i="3"/>
  <c r="T287" i="3"/>
  <c r="P287" i="3"/>
  <c r="O287" i="3"/>
  <c r="U286" i="3"/>
  <c r="T286" i="3"/>
  <c r="S286" i="3"/>
  <c r="R286" i="3"/>
  <c r="Q286" i="3"/>
  <c r="U285" i="3"/>
  <c r="T285" i="3"/>
  <c r="S285" i="3"/>
  <c r="R285" i="3"/>
  <c r="Q285" i="3"/>
  <c r="S284" i="3"/>
  <c r="S283" i="3" s="1"/>
  <c r="R284" i="3"/>
  <c r="Q284" i="3"/>
  <c r="T284" i="3" s="1"/>
  <c r="P284" i="3"/>
  <c r="N284" i="3"/>
  <c r="M284" i="3"/>
  <c r="L284" i="3"/>
  <c r="Q283" i="3"/>
  <c r="T283" i="3" s="1"/>
  <c r="J282" i="3"/>
  <c r="I277" i="3"/>
  <c r="K277" i="3" s="1"/>
  <c r="U275" i="3"/>
  <c r="T275" i="3"/>
  <c r="N275" i="3"/>
  <c r="M275" i="3"/>
  <c r="L275" i="3"/>
  <c r="U274" i="3"/>
  <c r="T274" i="3"/>
  <c r="P274" i="3"/>
  <c r="O274" i="3"/>
  <c r="U273" i="3"/>
  <c r="T273" i="3"/>
  <c r="S273" i="3"/>
  <c r="R273" i="3"/>
  <c r="Q273" i="3"/>
  <c r="S272" i="3"/>
  <c r="S270" i="3" s="1"/>
  <c r="R272" i="3"/>
  <c r="R269" i="3" s="1"/>
  <c r="Q272" i="3"/>
  <c r="Q270" i="3" s="1"/>
  <c r="N272" i="3"/>
  <c r="N270" i="3" s="1"/>
  <c r="M272" i="3"/>
  <c r="M270" i="3" s="1"/>
  <c r="L272" i="3"/>
  <c r="U271" i="3"/>
  <c r="T271" i="3"/>
  <c r="P271" i="3"/>
  <c r="O271" i="3"/>
  <c r="S268" i="3"/>
  <c r="R268" i="3"/>
  <c r="Q268" i="3"/>
  <c r="P268" i="3"/>
  <c r="N268" i="3"/>
  <c r="M268" i="3"/>
  <c r="L268" i="3"/>
  <c r="O268" i="3" s="1"/>
  <c r="J266" i="3"/>
  <c r="K264" i="3"/>
  <c r="K263" i="3"/>
  <c r="I261" i="3"/>
  <c r="K261" i="3" s="1"/>
  <c r="L259" i="3"/>
  <c r="L258" i="3"/>
  <c r="L257" i="3"/>
  <c r="L256" i="3"/>
  <c r="P255" i="3"/>
  <c r="N255" i="3"/>
  <c r="J254" i="3"/>
  <c r="K253" i="3"/>
  <c r="K252" i="3"/>
  <c r="I250" i="3"/>
  <c r="K250" i="3" s="1"/>
  <c r="L248" i="3"/>
  <c r="L247" i="3"/>
  <c r="L246" i="3"/>
  <c r="L245" i="3"/>
  <c r="P244" i="3"/>
  <c r="N244" i="3"/>
  <c r="J243" i="3"/>
  <c r="J232" i="3" s="1"/>
  <c r="J186" i="3" s="1"/>
  <c r="K242" i="3"/>
  <c r="J242" i="3"/>
  <c r="I242" i="3"/>
  <c r="J241" i="3"/>
  <c r="I241" i="3"/>
  <c r="K241" i="3" s="1"/>
  <c r="J239" i="3"/>
  <c r="N237" i="3"/>
  <c r="N236" i="3"/>
  <c r="N235" i="3"/>
  <c r="N234" i="3"/>
  <c r="I231" i="3"/>
  <c r="K231" i="3" s="1"/>
  <c r="I230" i="3"/>
  <c r="K230" i="3" s="1"/>
  <c r="I229" i="3"/>
  <c r="K229" i="3" s="1"/>
  <c r="L226" i="3"/>
  <c r="L225" i="3"/>
  <c r="L224" i="3"/>
  <c r="P223" i="3"/>
  <c r="N223" i="3"/>
  <c r="J222" i="3"/>
  <c r="I221" i="3"/>
  <c r="K221" i="3" s="1"/>
  <c r="I220" i="3"/>
  <c r="K220" i="3" s="1"/>
  <c r="L218" i="3"/>
  <c r="L217" i="3"/>
  <c r="L216" i="3"/>
  <c r="P215" i="3"/>
  <c r="N215" i="3"/>
  <c r="J214" i="3"/>
  <c r="I213" i="3"/>
  <c r="K213" i="3" s="1"/>
  <c r="I212" i="3"/>
  <c r="K212" i="3" s="1"/>
  <c r="I210" i="3"/>
  <c r="L208" i="3"/>
  <c r="L207" i="3"/>
  <c r="L206" i="3"/>
  <c r="L205" i="3"/>
  <c r="P204" i="3"/>
  <c r="N204" i="3"/>
  <c r="J203" i="3"/>
  <c r="J200" i="3"/>
  <c r="I199" i="3"/>
  <c r="K199" i="3" s="1"/>
  <c r="P197" i="3"/>
  <c r="L197" i="3"/>
  <c r="O197" i="3" s="1"/>
  <c r="J196" i="3"/>
  <c r="U195" i="3"/>
  <c r="T195" i="3"/>
  <c r="N195" i="3"/>
  <c r="N193" i="3" s="1"/>
  <c r="M195" i="3"/>
  <c r="L195" i="3"/>
  <c r="U194" i="3"/>
  <c r="T194" i="3"/>
  <c r="P194" i="3"/>
  <c r="O194" i="3"/>
  <c r="U193" i="3"/>
  <c r="S193" i="3"/>
  <c r="R193" i="3"/>
  <c r="Q193" i="3"/>
  <c r="T193" i="3" s="1"/>
  <c r="S192" i="3"/>
  <c r="S189" i="3" s="1"/>
  <c r="R192" i="3"/>
  <c r="Q192" i="3"/>
  <c r="Q190" i="3" s="1"/>
  <c r="N192" i="3"/>
  <c r="M192" i="3"/>
  <c r="M190" i="3" s="1"/>
  <c r="L192" i="3"/>
  <c r="L190" i="3" s="1"/>
  <c r="U191" i="3"/>
  <c r="T191" i="3"/>
  <c r="P191" i="3"/>
  <c r="O191" i="3"/>
  <c r="S188" i="3"/>
  <c r="R188" i="3"/>
  <c r="U188" i="3" s="1"/>
  <c r="Q188" i="3"/>
  <c r="N188" i="3"/>
  <c r="M188" i="3"/>
  <c r="P188" i="3" s="1"/>
  <c r="L188" i="3"/>
  <c r="O188" i="3" s="1"/>
  <c r="K185" i="3"/>
  <c r="I184" i="3"/>
  <c r="K184" i="3" s="1"/>
  <c r="U182" i="3"/>
  <c r="T182" i="3"/>
  <c r="N182" i="3"/>
  <c r="N180" i="3" s="1"/>
  <c r="M182" i="3"/>
  <c r="P182" i="3" s="1"/>
  <c r="L182" i="3"/>
  <c r="O182" i="3" s="1"/>
  <c r="U181" i="3"/>
  <c r="T181" i="3"/>
  <c r="P181" i="3"/>
  <c r="O181" i="3"/>
  <c r="T180" i="3"/>
  <c r="S180" i="3"/>
  <c r="R180" i="3"/>
  <c r="U180" i="3" s="1"/>
  <c r="Q180" i="3"/>
  <c r="S179" i="3"/>
  <c r="S176" i="3" s="1"/>
  <c r="S174" i="3" s="1"/>
  <c r="R179" i="3"/>
  <c r="U179" i="3" s="1"/>
  <c r="Q179" i="3"/>
  <c r="Q176" i="3" s="1"/>
  <c r="T176" i="3" s="1"/>
  <c r="N179" i="3"/>
  <c r="N177" i="3" s="1"/>
  <c r="M179" i="3"/>
  <c r="L179" i="3"/>
  <c r="O179" i="3" s="1"/>
  <c r="U178" i="3"/>
  <c r="T178" i="3"/>
  <c r="P178" i="3"/>
  <c r="O178" i="3"/>
  <c r="U175" i="3"/>
  <c r="S175" i="3"/>
  <c r="R175" i="3"/>
  <c r="Q175" i="3"/>
  <c r="P175" i="3"/>
  <c r="O175" i="3"/>
  <c r="N175" i="3"/>
  <c r="M175" i="3"/>
  <c r="L175" i="3"/>
  <c r="J173" i="3"/>
  <c r="I168" i="3"/>
  <c r="I157" i="3" s="1"/>
  <c r="K157" i="3" s="1"/>
  <c r="U166" i="3"/>
  <c r="T166" i="3"/>
  <c r="N166" i="3"/>
  <c r="N164" i="3" s="1"/>
  <c r="M166" i="3"/>
  <c r="P166" i="3" s="1"/>
  <c r="L166" i="3"/>
  <c r="O166" i="3" s="1"/>
  <c r="U165" i="3"/>
  <c r="T165" i="3"/>
  <c r="P165" i="3"/>
  <c r="O165" i="3"/>
  <c r="T164" i="3"/>
  <c r="S164" i="3"/>
  <c r="R164" i="3"/>
  <c r="U164" i="3" s="1"/>
  <c r="Q164" i="3"/>
  <c r="S163" i="3"/>
  <c r="S161" i="3" s="1"/>
  <c r="R163" i="3"/>
  <c r="Q163" i="3"/>
  <c r="Q160" i="3" s="1"/>
  <c r="T160" i="3" s="1"/>
  <c r="N163" i="3"/>
  <c r="N161" i="3" s="1"/>
  <c r="M163" i="3"/>
  <c r="L163" i="3"/>
  <c r="U162" i="3"/>
  <c r="T162" i="3"/>
  <c r="P162" i="3"/>
  <c r="O162" i="3"/>
  <c r="U159" i="3"/>
  <c r="S159" i="3"/>
  <c r="R159" i="3"/>
  <c r="Q159" i="3"/>
  <c r="P159" i="3"/>
  <c r="O159" i="3"/>
  <c r="N159" i="3"/>
  <c r="M159" i="3"/>
  <c r="L159" i="3"/>
  <c r="J157" i="3"/>
  <c r="I155" i="3"/>
  <c r="I154" i="3"/>
  <c r="I139" i="3" s="1"/>
  <c r="K139" i="3" s="1"/>
  <c r="I153" i="3"/>
  <c r="I152" i="3"/>
  <c r="K152" i="3" s="1"/>
  <c r="I151" i="3"/>
  <c r="K151" i="3" s="1"/>
  <c r="U148" i="3"/>
  <c r="T148" i="3"/>
  <c r="N148" i="3"/>
  <c r="N146" i="3" s="1"/>
  <c r="M148" i="3"/>
  <c r="P148" i="3" s="1"/>
  <c r="L148" i="3"/>
  <c r="O148" i="3" s="1"/>
  <c r="U147" i="3"/>
  <c r="T147" i="3"/>
  <c r="P147" i="3"/>
  <c r="O147" i="3"/>
  <c r="U146" i="3"/>
  <c r="S146" i="3"/>
  <c r="R146" i="3"/>
  <c r="Q146" i="3"/>
  <c r="T146" i="3" s="1"/>
  <c r="S145" i="3"/>
  <c r="R145" i="3"/>
  <c r="Q145" i="3"/>
  <c r="Q143" i="3" s="1"/>
  <c r="T143" i="3" s="1"/>
  <c r="N145" i="3"/>
  <c r="N143" i="3" s="1"/>
  <c r="M145" i="3"/>
  <c r="M143" i="3" s="1"/>
  <c r="L145" i="3"/>
  <c r="U144" i="3"/>
  <c r="T144" i="3"/>
  <c r="P144" i="3"/>
  <c r="O144" i="3"/>
  <c r="S141" i="3"/>
  <c r="R141" i="3"/>
  <c r="Q141" i="3"/>
  <c r="T141" i="3" s="1"/>
  <c r="O141" i="3"/>
  <c r="N141" i="3"/>
  <c r="M141" i="3"/>
  <c r="P141" i="3" s="1"/>
  <c r="L141" i="3"/>
  <c r="J139" i="3"/>
  <c r="J138" i="3"/>
  <c r="J137" i="3"/>
  <c r="I131" i="3"/>
  <c r="K131" i="3" s="1"/>
  <c r="I130" i="3"/>
  <c r="K130" i="3" s="1"/>
  <c r="I129" i="3"/>
  <c r="K129" i="3" s="1"/>
  <c r="I128" i="3"/>
  <c r="K128" i="3" s="1"/>
  <c r="U126" i="3"/>
  <c r="T126" i="3"/>
  <c r="N126" i="3"/>
  <c r="N124" i="3" s="1"/>
  <c r="M126" i="3"/>
  <c r="L126" i="3"/>
  <c r="O126" i="3" s="1"/>
  <c r="U125" i="3"/>
  <c r="T125" i="3"/>
  <c r="P125" i="3"/>
  <c r="O125" i="3"/>
  <c r="U124" i="3"/>
  <c r="S124" i="3"/>
  <c r="R124" i="3"/>
  <c r="Q124" i="3"/>
  <c r="T124" i="3" s="1"/>
  <c r="S123" i="3"/>
  <c r="S120" i="3" s="1"/>
  <c r="S118" i="3" s="1"/>
  <c r="R123" i="3"/>
  <c r="Q123" i="3"/>
  <c r="Q120" i="3" s="1"/>
  <c r="N123" i="3"/>
  <c r="N121" i="3" s="1"/>
  <c r="M123" i="3"/>
  <c r="P123" i="3" s="1"/>
  <c r="L123" i="3"/>
  <c r="O123" i="3" s="1"/>
  <c r="U122" i="3"/>
  <c r="T122" i="3"/>
  <c r="P122" i="3"/>
  <c r="O122" i="3"/>
  <c r="U119" i="3"/>
  <c r="S119" i="3"/>
  <c r="R119" i="3"/>
  <c r="Q119" i="3"/>
  <c r="T119" i="3" s="1"/>
  <c r="O119" i="3"/>
  <c r="N119" i="3"/>
  <c r="M119" i="3"/>
  <c r="P119" i="3" s="1"/>
  <c r="L119" i="3"/>
  <c r="J117" i="3"/>
  <c r="I115" i="3"/>
  <c r="K115" i="3" s="1"/>
  <c r="I114" i="3"/>
  <c r="K114" i="3" s="1"/>
  <c r="I110" i="3"/>
  <c r="I109" i="3"/>
  <c r="U103" i="3"/>
  <c r="T103" i="3"/>
  <c r="N103" i="3"/>
  <c r="M103" i="3"/>
  <c r="L103" i="3"/>
  <c r="U102" i="3"/>
  <c r="T102" i="3"/>
  <c r="P102" i="3"/>
  <c r="O102" i="3"/>
  <c r="U101" i="3"/>
  <c r="T101" i="3"/>
  <c r="S101" i="3"/>
  <c r="R101" i="3"/>
  <c r="Q101" i="3"/>
  <c r="S100" i="3"/>
  <c r="S98" i="3" s="1"/>
  <c r="R100" i="3"/>
  <c r="Q100" i="3"/>
  <c r="N100" i="3"/>
  <c r="N98" i="3" s="1"/>
  <c r="M100" i="3"/>
  <c r="L100" i="3"/>
  <c r="L98" i="3" s="1"/>
  <c r="O98" i="3" s="1"/>
  <c r="U99" i="3"/>
  <c r="T99" i="3"/>
  <c r="P99" i="3"/>
  <c r="O99" i="3"/>
  <c r="U96" i="3"/>
  <c r="S96" i="3"/>
  <c r="R96" i="3"/>
  <c r="Q96" i="3"/>
  <c r="T96" i="3" s="1"/>
  <c r="P96" i="3"/>
  <c r="O96" i="3"/>
  <c r="N96" i="3"/>
  <c r="M96" i="3"/>
  <c r="L96" i="3"/>
  <c r="J94" i="3"/>
  <c r="J93" i="3"/>
  <c r="I91" i="3"/>
  <c r="K91" i="3" s="1"/>
  <c r="I90" i="3"/>
  <c r="I89" i="3"/>
  <c r="K89" i="3" s="1"/>
  <c r="I88" i="3"/>
  <c r="K88" i="3" s="1"/>
  <c r="I87" i="3"/>
  <c r="I86" i="3"/>
  <c r="K86" i="3" s="1"/>
  <c r="I85" i="3"/>
  <c r="K85" i="3" s="1"/>
  <c r="J84" i="3"/>
  <c r="J72" i="3" s="1"/>
  <c r="J83" i="3"/>
  <c r="J71" i="3" s="1"/>
  <c r="U81" i="3"/>
  <c r="T81" i="3"/>
  <c r="N81" i="3"/>
  <c r="N79" i="3" s="1"/>
  <c r="M81" i="3"/>
  <c r="P81" i="3" s="1"/>
  <c r="L81" i="3"/>
  <c r="U80" i="3"/>
  <c r="T80" i="3"/>
  <c r="P80" i="3"/>
  <c r="O80" i="3"/>
  <c r="T79" i="3"/>
  <c r="S79" i="3"/>
  <c r="R79" i="3"/>
  <c r="U79" i="3" s="1"/>
  <c r="Q79" i="3"/>
  <c r="S78" i="3"/>
  <c r="S76" i="3" s="1"/>
  <c r="R78" i="3"/>
  <c r="R75" i="3" s="1"/>
  <c r="Q78" i="3"/>
  <c r="Q76" i="3" s="1"/>
  <c r="N78" i="3"/>
  <c r="N76" i="3" s="1"/>
  <c r="M78" i="3"/>
  <c r="M76" i="3" s="1"/>
  <c r="L78" i="3"/>
  <c r="U77" i="3"/>
  <c r="T77" i="3"/>
  <c r="P77" i="3"/>
  <c r="O77" i="3"/>
  <c r="S74" i="3"/>
  <c r="R74" i="3"/>
  <c r="Q74" i="3"/>
  <c r="T74" i="3" s="1"/>
  <c r="P74" i="3"/>
  <c r="N74" i="3"/>
  <c r="M74" i="3"/>
  <c r="L74" i="3"/>
  <c r="U68" i="3"/>
  <c r="T68" i="3"/>
  <c r="N68" i="3"/>
  <c r="N66" i="3" s="1"/>
  <c r="M68" i="3"/>
  <c r="M66" i="3" s="1"/>
  <c r="P66" i="3" s="1"/>
  <c r="L68" i="3"/>
  <c r="O68" i="3" s="1"/>
  <c r="U67" i="3"/>
  <c r="T67" i="3"/>
  <c r="P67" i="3"/>
  <c r="O67" i="3"/>
  <c r="S66" i="3"/>
  <c r="R66" i="3"/>
  <c r="U66" i="3" s="1"/>
  <c r="Q66" i="3"/>
  <c r="T66" i="3" s="1"/>
  <c r="U65" i="3"/>
  <c r="T65" i="3"/>
  <c r="N65" i="3"/>
  <c r="N63" i="3" s="1"/>
  <c r="M65" i="3"/>
  <c r="L65" i="3"/>
  <c r="L63" i="3" s="1"/>
  <c r="U64" i="3"/>
  <c r="T64" i="3"/>
  <c r="P64" i="3"/>
  <c r="O64" i="3"/>
  <c r="U63" i="3"/>
  <c r="S63" i="3"/>
  <c r="R63" i="3"/>
  <c r="Q63" i="3"/>
  <c r="T63" i="3" s="1"/>
  <c r="U62" i="3"/>
  <c r="T62" i="3"/>
  <c r="S62" i="3"/>
  <c r="R62" i="3"/>
  <c r="Q62" i="3"/>
  <c r="S61" i="3"/>
  <c r="S60" i="3" s="1"/>
  <c r="R61" i="3"/>
  <c r="Q61" i="3"/>
  <c r="T61" i="3" s="1"/>
  <c r="N61" i="3"/>
  <c r="M61" i="3"/>
  <c r="L61" i="3"/>
  <c r="Q60" i="3"/>
  <c r="T60" i="3" s="1"/>
  <c r="U53" i="3"/>
  <c r="T53" i="3"/>
  <c r="N53" i="3"/>
  <c r="N51" i="3" s="1"/>
  <c r="M53" i="3"/>
  <c r="L53" i="3"/>
  <c r="U52" i="3"/>
  <c r="T52" i="3"/>
  <c r="P52" i="3"/>
  <c r="O52" i="3"/>
  <c r="T51" i="3"/>
  <c r="S51" i="3"/>
  <c r="R51" i="3"/>
  <c r="U51" i="3" s="1"/>
  <c r="Q51" i="3"/>
  <c r="U50" i="3"/>
  <c r="T50" i="3"/>
  <c r="N50" i="3"/>
  <c r="N48" i="3" s="1"/>
  <c r="M50" i="3"/>
  <c r="M48" i="3" s="1"/>
  <c r="L50" i="3"/>
  <c r="L48" i="3" s="1"/>
  <c r="U49" i="3"/>
  <c r="T49" i="3"/>
  <c r="P49" i="3"/>
  <c r="O49" i="3"/>
  <c r="U48" i="3"/>
  <c r="S48" i="3"/>
  <c r="R48" i="3"/>
  <c r="Q48" i="3"/>
  <c r="T48" i="3" s="1"/>
  <c r="U47" i="3"/>
  <c r="T47" i="3"/>
  <c r="S47" i="3"/>
  <c r="R47" i="3"/>
  <c r="Q47" i="3"/>
  <c r="S46" i="3"/>
  <c r="S45" i="3" s="1"/>
  <c r="R46" i="3"/>
  <c r="Q46" i="3"/>
  <c r="T46" i="3" s="1"/>
  <c r="N46" i="3"/>
  <c r="M46" i="3"/>
  <c r="L46" i="3"/>
  <c r="Q45" i="3"/>
  <c r="T45" i="3" s="1"/>
  <c r="T27" i="3"/>
  <c r="S27" i="3"/>
  <c r="S25" i="3" s="1"/>
  <c r="R27" i="3"/>
  <c r="U27" i="3" s="1"/>
  <c r="Q27" i="3"/>
  <c r="S26" i="3"/>
  <c r="R26" i="3"/>
  <c r="Q26" i="3"/>
  <c r="P26" i="3"/>
  <c r="N26" i="3"/>
  <c r="M26" i="3"/>
  <c r="L26" i="3"/>
  <c r="S23" i="3"/>
  <c r="R23" i="3"/>
  <c r="Q23" i="3"/>
  <c r="P23" i="3"/>
  <c r="N23" i="3"/>
  <c r="M23" i="3"/>
  <c r="L23" i="3"/>
  <c r="L20" i="3" s="1"/>
  <c r="S20" i="3"/>
  <c r="R20" i="3"/>
  <c r="Q20" i="3"/>
  <c r="P20" i="3"/>
  <c r="N20" i="3"/>
  <c r="M20" i="3"/>
  <c r="A790" i="2"/>
  <c r="A789" i="2"/>
  <c r="J786" i="2"/>
  <c r="I786" i="2"/>
  <c r="J785" i="2"/>
  <c r="I785" i="2"/>
  <c r="J784" i="2"/>
  <c r="I784" i="2"/>
  <c r="K784" i="2" s="1"/>
  <c r="J783" i="2"/>
  <c r="I783" i="2"/>
  <c r="K783" i="2" s="1"/>
  <c r="J782" i="2"/>
  <c r="I782" i="2"/>
  <c r="J781" i="2"/>
  <c r="I781" i="2"/>
  <c r="J780" i="2"/>
  <c r="I780" i="2"/>
  <c r="J779" i="2"/>
  <c r="I779" i="2"/>
  <c r="H778" i="2"/>
  <c r="I777" i="2"/>
  <c r="I776" i="2"/>
  <c r="I775" i="2"/>
  <c r="I760" i="2" s="1"/>
  <c r="K760" i="2" s="1"/>
  <c r="I773" i="2"/>
  <c r="K773" i="2" s="1"/>
  <c r="I771" i="2"/>
  <c r="K771" i="2" s="1"/>
  <c r="U769" i="2"/>
  <c r="T769" i="2"/>
  <c r="P769" i="2"/>
  <c r="O769" i="2"/>
  <c r="U768" i="2"/>
  <c r="T768" i="2"/>
  <c r="P768" i="2"/>
  <c r="O768" i="2"/>
  <c r="U767" i="2"/>
  <c r="S767" i="2"/>
  <c r="R767" i="2"/>
  <c r="Q767" i="2"/>
  <c r="T767" i="2" s="1"/>
  <c r="O767" i="2"/>
  <c r="N767" i="2"/>
  <c r="M767" i="2"/>
  <c r="P767" i="2" s="1"/>
  <c r="L767" i="2"/>
  <c r="S766" i="2"/>
  <c r="S764" i="2" s="1"/>
  <c r="R766" i="2"/>
  <c r="R763" i="2" s="1"/>
  <c r="Q766" i="2"/>
  <c r="P766" i="2"/>
  <c r="O766" i="2"/>
  <c r="U765" i="2"/>
  <c r="T765" i="2"/>
  <c r="P765" i="2"/>
  <c r="O765" i="2"/>
  <c r="P764" i="2"/>
  <c r="N764" i="2"/>
  <c r="M764" i="2"/>
  <c r="L764" i="2"/>
  <c r="O764" i="2" s="1"/>
  <c r="P763" i="2"/>
  <c r="N763" i="2"/>
  <c r="M763" i="2"/>
  <c r="L763" i="2"/>
  <c r="O763" i="2" s="1"/>
  <c r="T762" i="2"/>
  <c r="S762" i="2"/>
  <c r="R762" i="2"/>
  <c r="U762" i="2" s="1"/>
  <c r="Q762" i="2"/>
  <c r="P762" i="2"/>
  <c r="N762" i="2"/>
  <c r="M762" i="2"/>
  <c r="L762" i="2"/>
  <c r="O762" i="2" s="1"/>
  <c r="P761" i="2"/>
  <c r="N761" i="2"/>
  <c r="M761" i="2"/>
  <c r="J760" i="2"/>
  <c r="J759" i="2"/>
  <c r="I756" i="2"/>
  <c r="K756" i="2" s="1"/>
  <c r="I753" i="2"/>
  <c r="K753" i="2" s="1"/>
  <c r="I750" i="2"/>
  <c r="K750" i="2" s="1"/>
  <c r="I747" i="2"/>
  <c r="K747" i="2" s="1"/>
  <c r="I745" i="2"/>
  <c r="K745" i="2" s="1"/>
  <c r="I743" i="2"/>
  <c r="K743" i="2" s="1"/>
  <c r="I741" i="2"/>
  <c r="K741" i="2" s="1"/>
  <c r="U737" i="2"/>
  <c r="T737" i="2"/>
  <c r="P737" i="2"/>
  <c r="O737" i="2"/>
  <c r="U736" i="2"/>
  <c r="T736" i="2"/>
  <c r="P736" i="2"/>
  <c r="O736" i="2"/>
  <c r="T735" i="2"/>
  <c r="S735" i="2"/>
  <c r="R735" i="2"/>
  <c r="U735" i="2" s="1"/>
  <c r="Q735" i="2"/>
  <c r="P735" i="2"/>
  <c r="N735" i="2"/>
  <c r="M735" i="2"/>
  <c r="L735" i="2"/>
  <c r="O735" i="2" s="1"/>
  <c r="S734" i="2"/>
  <c r="S732" i="2" s="1"/>
  <c r="R734" i="2"/>
  <c r="R732" i="2" s="1"/>
  <c r="Q734" i="2"/>
  <c r="P734" i="2"/>
  <c r="O734" i="2"/>
  <c r="U733" i="2"/>
  <c r="T733" i="2"/>
  <c r="P733" i="2"/>
  <c r="O733" i="2"/>
  <c r="O732" i="2"/>
  <c r="N732" i="2"/>
  <c r="M732" i="2"/>
  <c r="P732" i="2" s="1"/>
  <c r="L732" i="2"/>
  <c r="O731" i="2"/>
  <c r="N731" i="2"/>
  <c r="M731" i="2"/>
  <c r="P731" i="2" s="1"/>
  <c r="L731" i="2"/>
  <c r="U730" i="2"/>
  <c r="S730" i="2"/>
  <c r="R730" i="2"/>
  <c r="Q730" i="2"/>
  <c r="T730" i="2" s="1"/>
  <c r="O730" i="2"/>
  <c r="N730" i="2"/>
  <c r="N729" i="2" s="1"/>
  <c r="M730" i="2"/>
  <c r="P730" i="2" s="1"/>
  <c r="L730" i="2"/>
  <c r="O729" i="2"/>
  <c r="M729" i="2"/>
  <c r="P729" i="2" s="1"/>
  <c r="L729" i="2"/>
  <c r="J728" i="2"/>
  <c r="I728" i="2"/>
  <c r="K728" i="2" s="1"/>
  <c r="J727" i="2"/>
  <c r="I727" i="2"/>
  <c r="K727" i="2" s="1"/>
  <c r="U723" i="2"/>
  <c r="T723" i="2"/>
  <c r="P723" i="2"/>
  <c r="O723" i="2"/>
  <c r="U722" i="2"/>
  <c r="T722" i="2"/>
  <c r="P722" i="2"/>
  <c r="O722" i="2"/>
  <c r="U721" i="2"/>
  <c r="S721" i="2"/>
  <c r="R721" i="2"/>
  <c r="Q721" i="2"/>
  <c r="T721" i="2" s="1"/>
  <c r="O721" i="2"/>
  <c r="N721" i="2"/>
  <c r="M721" i="2"/>
  <c r="P721" i="2" s="1"/>
  <c r="L721" i="2"/>
  <c r="U720" i="2"/>
  <c r="T720" i="2"/>
  <c r="P720" i="2"/>
  <c r="O720" i="2"/>
  <c r="U719" i="2"/>
  <c r="T719" i="2"/>
  <c r="P719" i="2"/>
  <c r="O719" i="2"/>
  <c r="U718" i="2"/>
  <c r="S718" i="2"/>
  <c r="R718" i="2"/>
  <c r="Q718" i="2"/>
  <c r="T718" i="2" s="1"/>
  <c r="O718" i="2"/>
  <c r="N718" i="2"/>
  <c r="M718" i="2"/>
  <c r="P718" i="2" s="1"/>
  <c r="L718" i="2"/>
  <c r="U717" i="2"/>
  <c r="S717" i="2"/>
  <c r="R717" i="2"/>
  <c r="Q717" i="2"/>
  <c r="T717" i="2" s="1"/>
  <c r="O717" i="2"/>
  <c r="N717" i="2"/>
  <c r="M717" i="2"/>
  <c r="P717" i="2" s="1"/>
  <c r="L717" i="2"/>
  <c r="U716" i="2"/>
  <c r="S716" i="2"/>
  <c r="R716" i="2"/>
  <c r="Q716" i="2"/>
  <c r="T716" i="2" s="1"/>
  <c r="O716" i="2"/>
  <c r="N716" i="2"/>
  <c r="N715" i="2" s="1"/>
  <c r="M716" i="2"/>
  <c r="P716" i="2" s="1"/>
  <c r="L716" i="2"/>
  <c r="U715" i="2"/>
  <c r="S715" i="2"/>
  <c r="R715" i="2"/>
  <c r="O715" i="2"/>
  <c r="M715" i="2"/>
  <c r="P715" i="2" s="1"/>
  <c r="L715" i="2"/>
  <c r="K713" i="2"/>
  <c r="J713" i="2"/>
  <c r="K711" i="2"/>
  <c r="J711" i="2"/>
  <c r="J710" i="2"/>
  <c r="I710" i="2"/>
  <c r="K709" i="2"/>
  <c r="J709" i="2"/>
  <c r="J708" i="2"/>
  <c r="J690" i="2" s="1"/>
  <c r="I708" i="2"/>
  <c r="K708" i="2" s="1"/>
  <c r="K707" i="2"/>
  <c r="J707" i="2"/>
  <c r="J706" i="2"/>
  <c r="I706" i="2"/>
  <c r="K705" i="2"/>
  <c r="J705" i="2"/>
  <c r="J704" i="2"/>
  <c r="I704" i="2"/>
  <c r="K704" i="2" s="1"/>
  <c r="K703" i="2"/>
  <c r="I701" i="2"/>
  <c r="K701" i="2" s="1"/>
  <c r="U699" i="2"/>
  <c r="T699" i="2"/>
  <c r="P699" i="2"/>
  <c r="O699" i="2"/>
  <c r="U698" i="2"/>
  <c r="T698" i="2"/>
  <c r="P698" i="2"/>
  <c r="O698" i="2"/>
  <c r="T697" i="2"/>
  <c r="S697" i="2"/>
  <c r="R697" i="2"/>
  <c r="U697" i="2" s="1"/>
  <c r="Q697" i="2"/>
  <c r="P697" i="2"/>
  <c r="N697" i="2"/>
  <c r="M697" i="2"/>
  <c r="L697" i="2"/>
  <c r="O697" i="2" s="1"/>
  <c r="S696" i="2"/>
  <c r="S694" i="2" s="1"/>
  <c r="R696" i="2"/>
  <c r="Q696" i="2"/>
  <c r="Q694" i="2" s="1"/>
  <c r="P696" i="2"/>
  <c r="O696" i="2"/>
  <c r="U695" i="2"/>
  <c r="T695" i="2"/>
  <c r="P695" i="2"/>
  <c r="O695" i="2"/>
  <c r="O694" i="2"/>
  <c r="N694" i="2"/>
  <c r="M694" i="2"/>
  <c r="P694" i="2" s="1"/>
  <c r="L694" i="2"/>
  <c r="O693" i="2"/>
  <c r="N693" i="2"/>
  <c r="M693" i="2"/>
  <c r="P693" i="2" s="1"/>
  <c r="L693" i="2"/>
  <c r="L691" i="2" s="1"/>
  <c r="O691" i="2" s="1"/>
  <c r="U692" i="2"/>
  <c r="S692" i="2"/>
  <c r="R692" i="2"/>
  <c r="Q692" i="2"/>
  <c r="O692" i="2"/>
  <c r="N692" i="2"/>
  <c r="M692" i="2"/>
  <c r="P692" i="2" s="1"/>
  <c r="L692" i="2"/>
  <c r="N691" i="2"/>
  <c r="J683" i="2"/>
  <c r="I683" i="2"/>
  <c r="K683" i="2" s="1"/>
  <c r="J682" i="2"/>
  <c r="I682" i="2"/>
  <c r="K682" i="2" s="1"/>
  <c r="J681" i="2"/>
  <c r="J680" i="2"/>
  <c r="I680" i="2"/>
  <c r="K680" i="2" s="1"/>
  <c r="J679" i="2"/>
  <c r="I679" i="2"/>
  <c r="K679" i="2" s="1"/>
  <c r="J678" i="2"/>
  <c r="J677" i="2"/>
  <c r="I677" i="2"/>
  <c r="K677" i="2" s="1"/>
  <c r="I676" i="2"/>
  <c r="K676" i="2" s="1"/>
  <c r="I675" i="2"/>
  <c r="K675" i="2" s="1"/>
  <c r="J674" i="2"/>
  <c r="I674" i="2"/>
  <c r="K674" i="2" s="1"/>
  <c r="J673" i="2"/>
  <c r="J672" i="2"/>
  <c r="J662" i="2"/>
  <c r="I662" i="2"/>
  <c r="K662" i="2" s="1"/>
  <c r="I661" i="2"/>
  <c r="I658" i="2"/>
  <c r="J655" i="2"/>
  <c r="I655" i="2"/>
  <c r="K655" i="2" s="1"/>
  <c r="J654" i="2"/>
  <c r="I654" i="2"/>
  <c r="K654" i="2" s="1"/>
  <c r="J653" i="2"/>
  <c r="I653" i="2"/>
  <c r="K653" i="2" s="1"/>
  <c r="U651" i="2"/>
  <c r="T651" i="2"/>
  <c r="P651" i="2"/>
  <c r="O651" i="2"/>
  <c r="U650" i="2"/>
  <c r="T650" i="2"/>
  <c r="P650" i="2"/>
  <c r="O650" i="2"/>
  <c r="T649" i="2"/>
  <c r="S649" i="2"/>
  <c r="R649" i="2"/>
  <c r="U649" i="2" s="1"/>
  <c r="Q649" i="2"/>
  <c r="P649" i="2"/>
  <c r="N649" i="2"/>
  <c r="M649" i="2"/>
  <c r="L649" i="2"/>
  <c r="O649" i="2" s="1"/>
  <c r="S648" i="2"/>
  <c r="S646" i="2" s="1"/>
  <c r="R648" i="2"/>
  <c r="U648" i="2" s="1"/>
  <c r="Q648" i="2"/>
  <c r="T648" i="2" s="1"/>
  <c r="P648" i="2"/>
  <c r="O648" i="2"/>
  <c r="U647" i="2"/>
  <c r="T647" i="2"/>
  <c r="P647" i="2"/>
  <c r="O647" i="2"/>
  <c r="O646" i="2"/>
  <c r="N646" i="2"/>
  <c r="M646" i="2"/>
  <c r="P646" i="2" s="1"/>
  <c r="L646" i="2"/>
  <c r="O645" i="2"/>
  <c r="N645" i="2"/>
  <c r="M645" i="2"/>
  <c r="P645" i="2" s="1"/>
  <c r="L645" i="2"/>
  <c r="U644" i="2"/>
  <c r="S644" i="2"/>
  <c r="R644" i="2"/>
  <c r="Q644" i="2"/>
  <c r="O644" i="2"/>
  <c r="N644" i="2"/>
  <c r="M644" i="2"/>
  <c r="P644" i="2" s="1"/>
  <c r="L644" i="2"/>
  <c r="O643" i="2"/>
  <c r="N643" i="2"/>
  <c r="L643" i="2"/>
  <c r="J637" i="2"/>
  <c r="J636" i="2"/>
  <c r="I636" i="2"/>
  <c r="K636" i="2" s="1"/>
  <c r="J633" i="2"/>
  <c r="I629" i="2"/>
  <c r="K629" i="2" s="1"/>
  <c r="I628" i="2"/>
  <c r="K628" i="2" s="1"/>
  <c r="J627" i="2"/>
  <c r="I627" i="2"/>
  <c r="K631" i="2" s="1"/>
  <c r="U625" i="2"/>
  <c r="T625" i="2"/>
  <c r="P625" i="2"/>
  <c r="O625" i="2"/>
  <c r="U624" i="2"/>
  <c r="T624" i="2"/>
  <c r="P624" i="2"/>
  <c r="O624" i="2"/>
  <c r="U623" i="2"/>
  <c r="S623" i="2"/>
  <c r="R623" i="2"/>
  <c r="Q623" i="2"/>
  <c r="T623" i="2" s="1"/>
  <c r="O623" i="2"/>
  <c r="N623" i="2"/>
  <c r="M623" i="2"/>
  <c r="P623" i="2" s="1"/>
  <c r="L623" i="2"/>
  <c r="S622" i="2"/>
  <c r="S619" i="2" s="1"/>
  <c r="S617" i="2" s="1"/>
  <c r="R622" i="2"/>
  <c r="R619" i="2" s="1"/>
  <c r="Q622" i="2"/>
  <c r="P622" i="2"/>
  <c r="O622" i="2"/>
  <c r="U621" i="2"/>
  <c r="T621" i="2"/>
  <c r="P621" i="2"/>
  <c r="O621" i="2"/>
  <c r="P620" i="2"/>
  <c r="N620" i="2"/>
  <c r="M620" i="2"/>
  <c r="L620" i="2"/>
  <c r="O620" i="2" s="1"/>
  <c r="P619" i="2"/>
  <c r="N619" i="2"/>
  <c r="M619" i="2"/>
  <c r="L619" i="2"/>
  <c r="O619" i="2" s="1"/>
  <c r="T618" i="2"/>
  <c r="S618" i="2"/>
  <c r="R618" i="2"/>
  <c r="Q618" i="2"/>
  <c r="P618" i="2"/>
  <c r="N618" i="2"/>
  <c r="M618" i="2"/>
  <c r="L618" i="2"/>
  <c r="P617" i="2"/>
  <c r="M617" i="2"/>
  <c r="J616" i="2"/>
  <c r="U608" i="2"/>
  <c r="T608" i="2"/>
  <c r="P608" i="2"/>
  <c r="O608" i="2"/>
  <c r="U607" i="2"/>
  <c r="T607" i="2"/>
  <c r="P607" i="2"/>
  <c r="O607" i="2"/>
  <c r="U606" i="2"/>
  <c r="S606" i="2"/>
  <c r="R606" i="2"/>
  <c r="Q606" i="2"/>
  <c r="T606" i="2" s="1"/>
  <c r="O606" i="2"/>
  <c r="N606" i="2"/>
  <c r="M606" i="2"/>
  <c r="P606" i="2" s="1"/>
  <c r="L606" i="2"/>
  <c r="U605" i="2"/>
  <c r="T605" i="2"/>
  <c r="P605" i="2"/>
  <c r="O605" i="2"/>
  <c r="U604" i="2"/>
  <c r="T604" i="2"/>
  <c r="P604" i="2"/>
  <c r="O604" i="2"/>
  <c r="U603" i="2"/>
  <c r="S603" i="2"/>
  <c r="R603" i="2"/>
  <c r="Q603" i="2"/>
  <c r="T603" i="2" s="1"/>
  <c r="O603" i="2"/>
  <c r="N603" i="2"/>
  <c r="M603" i="2"/>
  <c r="P603" i="2" s="1"/>
  <c r="L603" i="2"/>
  <c r="U602" i="2"/>
  <c r="S602" i="2"/>
  <c r="R602" i="2"/>
  <c r="Q602" i="2"/>
  <c r="T602" i="2" s="1"/>
  <c r="O602" i="2"/>
  <c r="N602" i="2"/>
  <c r="M602" i="2"/>
  <c r="P602" i="2" s="1"/>
  <c r="L602" i="2"/>
  <c r="U601" i="2"/>
  <c r="S601" i="2"/>
  <c r="R601" i="2"/>
  <c r="Q601" i="2"/>
  <c r="T601" i="2" s="1"/>
  <c r="O601" i="2"/>
  <c r="N601" i="2"/>
  <c r="N600" i="2" s="1"/>
  <c r="M601" i="2"/>
  <c r="P601" i="2" s="1"/>
  <c r="L601" i="2"/>
  <c r="U600" i="2"/>
  <c r="S600" i="2"/>
  <c r="R600" i="2"/>
  <c r="O600" i="2"/>
  <c r="M600" i="2"/>
  <c r="P600" i="2" s="1"/>
  <c r="L600" i="2"/>
  <c r="U585" i="2"/>
  <c r="T585" i="2"/>
  <c r="P585" i="2"/>
  <c r="O585" i="2"/>
  <c r="U584" i="2"/>
  <c r="T584" i="2"/>
  <c r="P584" i="2"/>
  <c r="O584" i="2"/>
  <c r="U583" i="2"/>
  <c r="S583" i="2"/>
  <c r="R583" i="2"/>
  <c r="Q583" i="2"/>
  <c r="T583" i="2" s="1"/>
  <c r="O583" i="2"/>
  <c r="N583" i="2"/>
  <c r="M583" i="2"/>
  <c r="P583" i="2" s="1"/>
  <c r="L583" i="2"/>
  <c r="U582" i="2"/>
  <c r="T582" i="2"/>
  <c r="P582" i="2"/>
  <c r="O582" i="2"/>
  <c r="U581" i="2"/>
  <c r="T581" i="2"/>
  <c r="P581" i="2"/>
  <c r="O581" i="2"/>
  <c r="U580" i="2"/>
  <c r="S580" i="2"/>
  <c r="R580" i="2"/>
  <c r="Q580" i="2"/>
  <c r="T580" i="2" s="1"/>
  <c r="O580" i="2"/>
  <c r="N580" i="2"/>
  <c r="M580" i="2"/>
  <c r="P580" i="2" s="1"/>
  <c r="L580" i="2"/>
  <c r="U579" i="2"/>
  <c r="S579" i="2"/>
  <c r="R579" i="2"/>
  <c r="Q579" i="2"/>
  <c r="T579" i="2" s="1"/>
  <c r="O579" i="2"/>
  <c r="N579" i="2"/>
  <c r="M579" i="2"/>
  <c r="P579" i="2" s="1"/>
  <c r="L579" i="2"/>
  <c r="U578" i="2"/>
  <c r="S578" i="2"/>
  <c r="R578" i="2"/>
  <c r="R577" i="2" s="1"/>
  <c r="U577" i="2" s="1"/>
  <c r="Q578" i="2"/>
  <c r="T578" i="2" s="1"/>
  <c r="O578" i="2"/>
  <c r="N578" i="2"/>
  <c r="N577" i="2" s="1"/>
  <c r="M578" i="2"/>
  <c r="P578" i="2" s="1"/>
  <c r="L578" i="2"/>
  <c r="L577" i="2" s="1"/>
  <c r="O577" i="2" s="1"/>
  <c r="S577" i="2"/>
  <c r="M577" i="2"/>
  <c r="P577" i="2" s="1"/>
  <c r="J576" i="2"/>
  <c r="I576" i="2"/>
  <c r="K576" i="2" s="1"/>
  <c r="U564" i="2"/>
  <c r="T564" i="2"/>
  <c r="P564" i="2"/>
  <c r="O564" i="2"/>
  <c r="U563" i="2"/>
  <c r="T563" i="2"/>
  <c r="P563" i="2"/>
  <c r="O563" i="2"/>
  <c r="T562" i="2"/>
  <c r="S562" i="2"/>
  <c r="R562" i="2"/>
  <c r="U562" i="2" s="1"/>
  <c r="Q562" i="2"/>
  <c r="P562" i="2"/>
  <c r="N562" i="2"/>
  <c r="M562" i="2"/>
  <c r="L562" i="2"/>
  <c r="O562" i="2" s="1"/>
  <c r="U561" i="2"/>
  <c r="T561" i="2"/>
  <c r="P561" i="2"/>
  <c r="O561" i="2"/>
  <c r="U560" i="2"/>
  <c r="T560" i="2"/>
  <c r="P560" i="2"/>
  <c r="O560" i="2"/>
  <c r="T559" i="2"/>
  <c r="S559" i="2"/>
  <c r="R559" i="2"/>
  <c r="U559" i="2" s="1"/>
  <c r="Q559" i="2"/>
  <c r="P559" i="2"/>
  <c r="N559" i="2"/>
  <c r="M559" i="2"/>
  <c r="L559" i="2"/>
  <c r="O559" i="2" s="1"/>
  <c r="T558" i="2"/>
  <c r="S558" i="2"/>
  <c r="R558" i="2"/>
  <c r="U558" i="2" s="1"/>
  <c r="Q558" i="2"/>
  <c r="P558" i="2"/>
  <c r="N558" i="2"/>
  <c r="M558" i="2"/>
  <c r="L558" i="2"/>
  <c r="O558" i="2" s="1"/>
  <c r="T557" i="2"/>
  <c r="S557" i="2"/>
  <c r="R557" i="2"/>
  <c r="Q557" i="2"/>
  <c r="Q556" i="2" s="1"/>
  <c r="T556" i="2" s="1"/>
  <c r="P557" i="2"/>
  <c r="N557" i="2"/>
  <c r="N556" i="2" s="1"/>
  <c r="M557" i="2"/>
  <c r="L557" i="2"/>
  <c r="S556" i="2"/>
  <c r="P556" i="2"/>
  <c r="M556" i="2"/>
  <c r="J555" i="2"/>
  <c r="I555" i="2"/>
  <c r="K555" i="2" s="1"/>
  <c r="U543" i="2"/>
  <c r="T543" i="2"/>
  <c r="P543" i="2"/>
  <c r="O543" i="2"/>
  <c r="U542" i="2"/>
  <c r="T542" i="2"/>
  <c r="P542" i="2"/>
  <c r="O542" i="2"/>
  <c r="U541" i="2"/>
  <c r="S541" i="2"/>
  <c r="R541" i="2"/>
  <c r="Q541" i="2"/>
  <c r="T541" i="2" s="1"/>
  <c r="O541" i="2"/>
  <c r="N541" i="2"/>
  <c r="M541" i="2"/>
  <c r="P541" i="2" s="1"/>
  <c r="L541" i="2"/>
  <c r="U540" i="2"/>
  <c r="T540" i="2"/>
  <c r="P540" i="2"/>
  <c r="O540" i="2"/>
  <c r="U539" i="2"/>
  <c r="T539" i="2"/>
  <c r="P539" i="2"/>
  <c r="O539" i="2"/>
  <c r="U538" i="2"/>
  <c r="S538" i="2"/>
  <c r="R538" i="2"/>
  <c r="Q538" i="2"/>
  <c r="T538" i="2" s="1"/>
  <c r="O538" i="2"/>
  <c r="N538" i="2"/>
  <c r="M538" i="2"/>
  <c r="P538" i="2" s="1"/>
  <c r="L538" i="2"/>
  <c r="U537" i="2"/>
  <c r="S537" i="2"/>
  <c r="R537" i="2"/>
  <c r="Q537" i="2"/>
  <c r="T537" i="2" s="1"/>
  <c r="O537" i="2"/>
  <c r="N537" i="2"/>
  <c r="M537" i="2"/>
  <c r="P537" i="2" s="1"/>
  <c r="L537" i="2"/>
  <c r="U536" i="2"/>
  <c r="S536" i="2"/>
  <c r="R536" i="2"/>
  <c r="Q536" i="2"/>
  <c r="T536" i="2" s="1"/>
  <c r="O536" i="2"/>
  <c r="N536" i="2"/>
  <c r="N535" i="2" s="1"/>
  <c r="M536" i="2"/>
  <c r="P536" i="2" s="1"/>
  <c r="L536" i="2"/>
  <c r="U535" i="2"/>
  <c r="S535" i="2"/>
  <c r="R535" i="2"/>
  <c r="O535" i="2"/>
  <c r="M535" i="2"/>
  <c r="P535" i="2" s="1"/>
  <c r="L535" i="2"/>
  <c r="J534" i="2"/>
  <c r="I534" i="2"/>
  <c r="K534" i="2" s="1"/>
  <c r="K525" i="2"/>
  <c r="K524" i="2"/>
  <c r="U522" i="2"/>
  <c r="T522" i="2"/>
  <c r="N522" i="2"/>
  <c r="M522" i="2"/>
  <c r="L522" i="2"/>
  <c r="L520" i="2" s="1"/>
  <c r="U521" i="2"/>
  <c r="T521" i="2"/>
  <c r="P521" i="2"/>
  <c r="O521" i="2"/>
  <c r="U520" i="2"/>
  <c r="S520" i="2"/>
  <c r="R520" i="2"/>
  <c r="Q520" i="2"/>
  <c r="T520" i="2" s="1"/>
  <c r="U519" i="2"/>
  <c r="T519" i="2"/>
  <c r="N519" i="2"/>
  <c r="N517" i="2" s="1"/>
  <c r="M519" i="2"/>
  <c r="M517" i="2" s="1"/>
  <c r="P517" i="2" s="1"/>
  <c r="L519" i="2"/>
  <c r="U518" i="2"/>
  <c r="T518" i="2"/>
  <c r="P518" i="2"/>
  <c r="O518" i="2"/>
  <c r="T517" i="2"/>
  <c r="S517" i="2"/>
  <c r="R517" i="2"/>
  <c r="U517" i="2" s="1"/>
  <c r="Q517" i="2"/>
  <c r="T516" i="2"/>
  <c r="S516" i="2"/>
  <c r="R516" i="2"/>
  <c r="U516" i="2" s="1"/>
  <c r="Q516" i="2"/>
  <c r="T515" i="2"/>
  <c r="S515" i="2"/>
  <c r="S514" i="2" s="1"/>
  <c r="R515" i="2"/>
  <c r="U515" i="2" s="1"/>
  <c r="Q515" i="2"/>
  <c r="Q514" i="2" s="1"/>
  <c r="T514" i="2" s="1"/>
  <c r="P515" i="2"/>
  <c r="N515" i="2"/>
  <c r="M515" i="2"/>
  <c r="L515" i="2"/>
  <c r="O515" i="2" s="1"/>
  <c r="R514" i="2"/>
  <c r="U514" i="2" s="1"/>
  <c r="J513" i="2"/>
  <c r="I513" i="2"/>
  <c r="K513" i="2" s="1"/>
  <c r="I510" i="2"/>
  <c r="K510" i="2" s="1"/>
  <c r="K509" i="2"/>
  <c r="I508" i="2"/>
  <c r="K508" i="2" s="1"/>
  <c r="I507" i="2"/>
  <c r="K507" i="2" s="1"/>
  <c r="I506" i="2"/>
  <c r="K506" i="2" s="1"/>
  <c r="I505" i="2"/>
  <c r="K505" i="2" s="1"/>
  <c r="I504" i="2"/>
  <c r="I493" i="2" s="1"/>
  <c r="U502" i="2"/>
  <c r="T502" i="2"/>
  <c r="P502" i="2"/>
  <c r="O502" i="2"/>
  <c r="U501" i="2"/>
  <c r="T501" i="2"/>
  <c r="P501" i="2"/>
  <c r="O501" i="2"/>
  <c r="U500" i="2"/>
  <c r="S500" i="2"/>
  <c r="R500" i="2"/>
  <c r="Q500" i="2"/>
  <c r="T500" i="2" s="1"/>
  <c r="O500" i="2"/>
  <c r="N500" i="2"/>
  <c r="M500" i="2"/>
  <c r="P500" i="2" s="1"/>
  <c r="L500" i="2"/>
  <c r="S499" i="2"/>
  <c r="S497" i="2" s="1"/>
  <c r="R499" i="2"/>
  <c r="Q499" i="2"/>
  <c r="Q497" i="2" s="1"/>
  <c r="P499" i="2"/>
  <c r="O499" i="2"/>
  <c r="U498" i="2"/>
  <c r="T498" i="2"/>
  <c r="P498" i="2"/>
  <c r="O498" i="2"/>
  <c r="P497" i="2"/>
  <c r="N497" i="2"/>
  <c r="M497" i="2"/>
  <c r="L497" i="2"/>
  <c r="O497" i="2" s="1"/>
  <c r="P496" i="2"/>
  <c r="O496" i="2"/>
  <c r="N496" i="2"/>
  <c r="M496" i="2"/>
  <c r="L496" i="2"/>
  <c r="T495" i="2"/>
  <c r="S495" i="2"/>
  <c r="R495" i="2"/>
  <c r="U495" i="2" s="1"/>
  <c r="Q495" i="2"/>
  <c r="N495" i="2"/>
  <c r="M495" i="2"/>
  <c r="L495" i="2"/>
  <c r="O495" i="2" s="1"/>
  <c r="N494" i="2"/>
  <c r="K486" i="2"/>
  <c r="J486" i="2"/>
  <c r="I486" i="2"/>
  <c r="K485" i="2"/>
  <c r="J485" i="2"/>
  <c r="I485" i="2"/>
  <c r="J484" i="2"/>
  <c r="J483" i="2"/>
  <c r="K478" i="2"/>
  <c r="J478" i="2"/>
  <c r="K477" i="2"/>
  <c r="J477" i="2"/>
  <c r="K476" i="2"/>
  <c r="J476" i="2"/>
  <c r="J469" i="2"/>
  <c r="J468" i="2"/>
  <c r="J458" i="2" s="1"/>
  <c r="J457" i="2" s="1"/>
  <c r="J461" i="2"/>
  <c r="J460" i="2"/>
  <c r="J459" i="2"/>
  <c r="I459" i="2"/>
  <c r="K459" i="2" s="1"/>
  <c r="I458" i="2"/>
  <c r="K458" i="2" s="1"/>
  <c r="J448" i="2"/>
  <c r="J447" i="2"/>
  <c r="J442" i="2"/>
  <c r="I442" i="2"/>
  <c r="K442" i="2" s="1"/>
  <c r="J441" i="2"/>
  <c r="I441" i="2"/>
  <c r="K441" i="2" s="1"/>
  <c r="J434" i="2"/>
  <c r="I434" i="2"/>
  <c r="K434" i="2" s="1"/>
  <c r="J433" i="2"/>
  <c r="I433" i="2"/>
  <c r="K433" i="2" s="1"/>
  <c r="J426" i="2"/>
  <c r="I426" i="2"/>
  <c r="K426" i="2" s="1"/>
  <c r="J425" i="2"/>
  <c r="I425" i="2"/>
  <c r="K425" i="2" s="1"/>
  <c r="J424" i="2"/>
  <c r="J413" i="2" s="1"/>
  <c r="U422" i="2"/>
  <c r="T422" i="2"/>
  <c r="P422" i="2"/>
  <c r="O422" i="2"/>
  <c r="U421" i="2"/>
  <c r="T421" i="2"/>
  <c r="P421" i="2"/>
  <c r="O421" i="2"/>
  <c r="S420" i="2"/>
  <c r="R420" i="2"/>
  <c r="U420" i="2" s="1"/>
  <c r="Q420" i="2"/>
  <c r="T420" i="2" s="1"/>
  <c r="O420" i="2"/>
  <c r="N420" i="2"/>
  <c r="M420" i="2"/>
  <c r="P420" i="2" s="1"/>
  <c r="L420" i="2"/>
  <c r="S419" i="2"/>
  <c r="S417" i="2" s="1"/>
  <c r="R419" i="2"/>
  <c r="U419" i="2" s="1"/>
  <c r="Q419" i="2"/>
  <c r="Q417" i="2" s="1"/>
  <c r="T417" i="2" s="1"/>
  <c r="P419" i="2"/>
  <c r="O419" i="2"/>
  <c r="U418" i="2"/>
  <c r="T418" i="2"/>
  <c r="P418" i="2"/>
  <c r="O418" i="2"/>
  <c r="P417" i="2"/>
  <c r="O417" i="2"/>
  <c r="N417" i="2"/>
  <c r="M417" i="2"/>
  <c r="L417" i="2"/>
  <c r="N416" i="2"/>
  <c r="M416" i="2"/>
  <c r="P416" i="2" s="1"/>
  <c r="L416" i="2"/>
  <c r="U415" i="2"/>
  <c r="T415" i="2"/>
  <c r="S415" i="2"/>
  <c r="R415" i="2"/>
  <c r="Q415" i="2"/>
  <c r="P415" i="2"/>
  <c r="O415" i="2"/>
  <c r="N415" i="2"/>
  <c r="M415" i="2"/>
  <c r="L415" i="2"/>
  <c r="N414" i="2"/>
  <c r="M414" i="2"/>
  <c r="P414" i="2" s="1"/>
  <c r="U401" i="2"/>
  <c r="T401" i="2"/>
  <c r="P401" i="2"/>
  <c r="O401" i="2"/>
  <c r="U400" i="2"/>
  <c r="T400" i="2"/>
  <c r="P400" i="2"/>
  <c r="O400" i="2"/>
  <c r="U399" i="2"/>
  <c r="S399" i="2"/>
  <c r="R399" i="2"/>
  <c r="Q399" i="2"/>
  <c r="T399" i="2" s="1"/>
  <c r="O399" i="2"/>
  <c r="N399" i="2"/>
  <c r="M399" i="2"/>
  <c r="P399" i="2" s="1"/>
  <c r="L399" i="2"/>
  <c r="U398" i="2"/>
  <c r="T398" i="2"/>
  <c r="P398" i="2"/>
  <c r="O398" i="2"/>
  <c r="U397" i="2"/>
  <c r="T397" i="2"/>
  <c r="P397" i="2"/>
  <c r="O397" i="2"/>
  <c r="U396" i="2"/>
  <c r="S396" i="2"/>
  <c r="R396" i="2"/>
  <c r="Q396" i="2"/>
  <c r="T396" i="2" s="1"/>
  <c r="N396" i="2"/>
  <c r="M396" i="2"/>
  <c r="P396" i="2" s="1"/>
  <c r="L396" i="2"/>
  <c r="O396" i="2" s="1"/>
  <c r="U395" i="2"/>
  <c r="S395" i="2"/>
  <c r="R395" i="2"/>
  <c r="Q395" i="2"/>
  <c r="T395" i="2" s="1"/>
  <c r="P395" i="2"/>
  <c r="O395" i="2"/>
  <c r="N395" i="2"/>
  <c r="M395" i="2"/>
  <c r="L395" i="2"/>
  <c r="U394" i="2"/>
  <c r="T394" i="2"/>
  <c r="S394" i="2"/>
  <c r="S393" i="2" s="1"/>
  <c r="R394" i="2"/>
  <c r="Q394" i="2"/>
  <c r="N394" i="2"/>
  <c r="N393" i="2" s="1"/>
  <c r="M394" i="2"/>
  <c r="P394" i="2" s="1"/>
  <c r="L394" i="2"/>
  <c r="O394" i="2" s="1"/>
  <c r="R393" i="2"/>
  <c r="U393" i="2" s="1"/>
  <c r="Q393" i="2"/>
  <c r="T393" i="2" s="1"/>
  <c r="J392" i="2"/>
  <c r="I392" i="2"/>
  <c r="K392" i="2" s="1"/>
  <c r="J389" i="2"/>
  <c r="I389" i="2"/>
  <c r="K389" i="2" s="1"/>
  <c r="K388" i="2"/>
  <c r="J388" i="2"/>
  <c r="J387" i="2"/>
  <c r="I387" i="2"/>
  <c r="K386" i="2"/>
  <c r="J386" i="2"/>
  <c r="U384" i="2"/>
  <c r="T384" i="2"/>
  <c r="P384" i="2"/>
  <c r="O384" i="2"/>
  <c r="U383" i="2"/>
  <c r="T383" i="2"/>
  <c r="P383" i="2"/>
  <c r="O383" i="2"/>
  <c r="S382" i="2"/>
  <c r="R382" i="2"/>
  <c r="U382" i="2" s="1"/>
  <c r="Q382" i="2"/>
  <c r="T382" i="2" s="1"/>
  <c r="N382" i="2"/>
  <c r="M382" i="2"/>
  <c r="P382" i="2" s="1"/>
  <c r="L382" i="2"/>
  <c r="O382" i="2" s="1"/>
  <c r="S381" i="2"/>
  <c r="S379" i="2" s="1"/>
  <c r="R381" i="2"/>
  <c r="U381" i="2" s="1"/>
  <c r="Q381" i="2"/>
  <c r="Q379" i="2" s="1"/>
  <c r="P381" i="2"/>
  <c r="O381" i="2"/>
  <c r="U380" i="2"/>
  <c r="T380" i="2"/>
  <c r="P380" i="2"/>
  <c r="O380" i="2"/>
  <c r="O379" i="2"/>
  <c r="N379" i="2"/>
  <c r="M379" i="2"/>
  <c r="P379" i="2" s="1"/>
  <c r="L379" i="2"/>
  <c r="N378" i="2"/>
  <c r="M378" i="2"/>
  <c r="P378" i="2" s="1"/>
  <c r="L378" i="2"/>
  <c r="O378" i="2" s="1"/>
  <c r="S377" i="2"/>
  <c r="R377" i="2"/>
  <c r="Q377" i="2"/>
  <c r="P377" i="2"/>
  <c r="N377" i="2"/>
  <c r="M377" i="2"/>
  <c r="L377" i="2"/>
  <c r="L376" i="2" s="1"/>
  <c r="O376" i="2" s="1"/>
  <c r="D374" i="2"/>
  <c r="K373" i="2"/>
  <c r="J373" i="2"/>
  <c r="J372" i="2"/>
  <c r="J366" i="2" s="1"/>
  <c r="I372" i="2"/>
  <c r="K371" i="2"/>
  <c r="J371" i="2"/>
  <c r="J370" i="2"/>
  <c r="I370" i="2"/>
  <c r="J369" i="2"/>
  <c r="I369" i="2"/>
  <c r="K368" i="2"/>
  <c r="J368" i="2"/>
  <c r="U365" i="2"/>
  <c r="T365" i="2"/>
  <c r="N365" i="2"/>
  <c r="N363" i="2" s="1"/>
  <c r="M365" i="2"/>
  <c r="M363" i="2" s="1"/>
  <c r="P363" i="2" s="1"/>
  <c r="L365" i="2"/>
  <c r="L363" i="2" s="1"/>
  <c r="O363" i="2" s="1"/>
  <c r="U364" i="2"/>
  <c r="T364" i="2"/>
  <c r="P364" i="2"/>
  <c r="O364" i="2"/>
  <c r="U363" i="2"/>
  <c r="S363" i="2"/>
  <c r="R363" i="2"/>
  <c r="Q363" i="2"/>
  <c r="T363" i="2" s="1"/>
  <c r="U362" i="2"/>
  <c r="T362" i="2"/>
  <c r="N362" i="2"/>
  <c r="M362" i="2"/>
  <c r="M360" i="2" s="1"/>
  <c r="L362" i="2"/>
  <c r="L360" i="2" s="1"/>
  <c r="U361" i="2"/>
  <c r="T361" i="2"/>
  <c r="P361" i="2"/>
  <c r="O361" i="2"/>
  <c r="S360" i="2"/>
  <c r="R360" i="2"/>
  <c r="U360" i="2" s="1"/>
  <c r="Q360" i="2"/>
  <c r="T360" i="2" s="1"/>
  <c r="S359" i="2"/>
  <c r="R359" i="2"/>
  <c r="R357" i="2" s="1"/>
  <c r="U357" i="2" s="1"/>
  <c r="Q359" i="2"/>
  <c r="U358" i="2"/>
  <c r="T358" i="2"/>
  <c r="S358" i="2"/>
  <c r="S357" i="2" s="1"/>
  <c r="R358" i="2"/>
  <c r="Q358" i="2"/>
  <c r="O358" i="2"/>
  <c r="N358" i="2"/>
  <c r="M358" i="2"/>
  <c r="P358" i="2" s="1"/>
  <c r="L358" i="2"/>
  <c r="D355" i="2"/>
  <c r="J354" i="2"/>
  <c r="J353" i="2"/>
  <c r="D351" i="2"/>
  <c r="J350" i="2"/>
  <c r="J349" i="2"/>
  <c r="J348" i="2"/>
  <c r="J347" i="2"/>
  <c r="I347" i="2"/>
  <c r="J345" i="2"/>
  <c r="I345" i="2"/>
  <c r="I333" i="2" s="1"/>
  <c r="U342" i="2"/>
  <c r="T342" i="2"/>
  <c r="N342" i="2"/>
  <c r="N340" i="2" s="1"/>
  <c r="M342" i="2"/>
  <c r="P342" i="2" s="1"/>
  <c r="L342" i="2"/>
  <c r="U341" i="2"/>
  <c r="T341" i="2"/>
  <c r="P341" i="2"/>
  <c r="O341" i="2"/>
  <c r="T340" i="2"/>
  <c r="S340" i="2"/>
  <c r="R340" i="2"/>
  <c r="U340" i="2" s="1"/>
  <c r="Q340" i="2"/>
  <c r="U339" i="2"/>
  <c r="T339" i="2"/>
  <c r="N339" i="2"/>
  <c r="N337" i="2" s="1"/>
  <c r="M339" i="2"/>
  <c r="M337" i="2" s="1"/>
  <c r="L339" i="2"/>
  <c r="L337" i="2" s="1"/>
  <c r="U338" i="2"/>
  <c r="T338" i="2"/>
  <c r="P338" i="2"/>
  <c r="O338" i="2"/>
  <c r="U337" i="2"/>
  <c r="S337" i="2"/>
  <c r="R337" i="2"/>
  <c r="Q337" i="2"/>
  <c r="T337" i="2" s="1"/>
  <c r="T336" i="2"/>
  <c r="S336" i="2"/>
  <c r="R336" i="2"/>
  <c r="U336" i="2" s="1"/>
  <c r="Q336" i="2"/>
  <c r="S335" i="2"/>
  <c r="S334" i="2" s="1"/>
  <c r="R335" i="2"/>
  <c r="Q335" i="2"/>
  <c r="T335" i="2" s="1"/>
  <c r="N335" i="2"/>
  <c r="M335" i="2"/>
  <c r="L335" i="2"/>
  <c r="Q334" i="2"/>
  <c r="T334" i="2" s="1"/>
  <c r="I331" i="2"/>
  <c r="I320" i="2" s="1"/>
  <c r="U329" i="2"/>
  <c r="T329" i="2"/>
  <c r="N329" i="2"/>
  <c r="N327" i="2" s="1"/>
  <c r="M329" i="2"/>
  <c r="P329" i="2" s="1"/>
  <c r="L329" i="2"/>
  <c r="L327" i="2" s="1"/>
  <c r="O327" i="2" s="1"/>
  <c r="U328" i="2"/>
  <c r="T328" i="2"/>
  <c r="P328" i="2"/>
  <c r="O328" i="2"/>
  <c r="S327" i="2"/>
  <c r="R327" i="2"/>
  <c r="U327" i="2" s="1"/>
  <c r="Q327" i="2"/>
  <c r="T327" i="2" s="1"/>
  <c r="U326" i="2"/>
  <c r="T326" i="2"/>
  <c r="N326" i="2"/>
  <c r="M326" i="2"/>
  <c r="M324" i="2" s="1"/>
  <c r="L326" i="2"/>
  <c r="L324" i="2" s="1"/>
  <c r="U325" i="2"/>
  <c r="T325" i="2"/>
  <c r="P325" i="2"/>
  <c r="O325" i="2"/>
  <c r="U324" i="2"/>
  <c r="T324" i="2"/>
  <c r="S324" i="2"/>
  <c r="R324" i="2"/>
  <c r="Q324" i="2"/>
  <c r="S323" i="2"/>
  <c r="R323" i="2"/>
  <c r="U323" i="2" s="1"/>
  <c r="Q323" i="2"/>
  <c r="T323" i="2" s="1"/>
  <c r="S322" i="2"/>
  <c r="R322" i="2"/>
  <c r="Q322" i="2"/>
  <c r="P322" i="2"/>
  <c r="N322" i="2"/>
  <c r="M322" i="2"/>
  <c r="L322" i="2"/>
  <c r="S321" i="2"/>
  <c r="J320" i="2"/>
  <c r="I315" i="2"/>
  <c r="U312" i="2"/>
  <c r="T312" i="2"/>
  <c r="N312" i="2"/>
  <c r="N310" i="2" s="1"/>
  <c r="M312" i="2"/>
  <c r="M310" i="2" s="1"/>
  <c r="P310" i="2" s="1"/>
  <c r="L312" i="2"/>
  <c r="O312" i="2" s="1"/>
  <c r="U311" i="2"/>
  <c r="T311" i="2"/>
  <c r="P311" i="2"/>
  <c r="O311" i="2"/>
  <c r="U310" i="2"/>
  <c r="S310" i="2"/>
  <c r="R310" i="2"/>
  <c r="Q310" i="2"/>
  <c r="T310" i="2" s="1"/>
  <c r="S309" i="2"/>
  <c r="S307" i="2" s="1"/>
  <c r="R309" i="2"/>
  <c r="U309" i="2" s="1"/>
  <c r="Q309" i="2"/>
  <c r="Q307" i="2" s="1"/>
  <c r="T307" i="2" s="1"/>
  <c r="N309" i="2"/>
  <c r="N307" i="2" s="1"/>
  <c r="M309" i="2"/>
  <c r="M307" i="2" s="1"/>
  <c r="P307" i="2" s="1"/>
  <c r="L309" i="2"/>
  <c r="L307" i="2" s="1"/>
  <c r="O307" i="2" s="1"/>
  <c r="U308" i="2"/>
  <c r="T308" i="2"/>
  <c r="P308" i="2"/>
  <c r="O308" i="2"/>
  <c r="T305" i="2"/>
  <c r="S305" i="2"/>
  <c r="R305" i="2"/>
  <c r="U305" i="2" s="1"/>
  <c r="Q305" i="2"/>
  <c r="N305" i="2"/>
  <c r="M305" i="2"/>
  <c r="L305" i="2"/>
  <c r="O305" i="2" s="1"/>
  <c r="J303" i="2"/>
  <c r="I297" i="2"/>
  <c r="K297" i="2" s="1"/>
  <c r="I296" i="2"/>
  <c r="K296" i="2" s="1"/>
  <c r="J294" i="2"/>
  <c r="J281" i="2" s="1"/>
  <c r="I294" i="2"/>
  <c r="I281" i="2" s="1"/>
  <c r="K281" i="2" s="1"/>
  <c r="I293" i="2"/>
  <c r="K293" i="2" s="1"/>
  <c r="U291" i="2"/>
  <c r="T291" i="2"/>
  <c r="N291" i="2"/>
  <c r="N289" i="2" s="1"/>
  <c r="M291" i="2"/>
  <c r="M289" i="2" s="1"/>
  <c r="P289" i="2" s="1"/>
  <c r="L291" i="2"/>
  <c r="L289" i="2" s="1"/>
  <c r="O289" i="2" s="1"/>
  <c r="U290" i="2"/>
  <c r="T290" i="2"/>
  <c r="P290" i="2"/>
  <c r="O290" i="2"/>
  <c r="T289" i="2"/>
  <c r="S289" i="2"/>
  <c r="R289" i="2"/>
  <c r="U289" i="2" s="1"/>
  <c r="Q289" i="2"/>
  <c r="U288" i="2"/>
  <c r="T288" i="2"/>
  <c r="N288" i="2"/>
  <c r="N286" i="2" s="1"/>
  <c r="M288" i="2"/>
  <c r="M286" i="2" s="1"/>
  <c r="P286" i="2" s="1"/>
  <c r="L288" i="2"/>
  <c r="L286" i="2" s="1"/>
  <c r="O286" i="2" s="1"/>
  <c r="U287" i="2"/>
  <c r="T287" i="2"/>
  <c r="P287" i="2"/>
  <c r="O287" i="2"/>
  <c r="S286" i="2"/>
  <c r="R286" i="2"/>
  <c r="U286" i="2" s="1"/>
  <c r="Q286" i="2"/>
  <c r="T286" i="2" s="1"/>
  <c r="U285" i="2"/>
  <c r="T285" i="2"/>
  <c r="S285" i="2"/>
  <c r="R285" i="2"/>
  <c r="Q285" i="2"/>
  <c r="S284" i="2"/>
  <c r="R284" i="2"/>
  <c r="U284" i="2" s="1"/>
  <c r="Q284" i="2"/>
  <c r="T284" i="2" s="1"/>
  <c r="N284" i="2"/>
  <c r="M284" i="2"/>
  <c r="L284" i="2"/>
  <c r="O284" i="2" s="1"/>
  <c r="U283" i="2"/>
  <c r="R283" i="2"/>
  <c r="Q283" i="2"/>
  <c r="T283" i="2" s="1"/>
  <c r="J282" i="2"/>
  <c r="I277" i="2"/>
  <c r="I266" i="2" s="1"/>
  <c r="U275" i="2"/>
  <c r="T275" i="2"/>
  <c r="N275" i="2"/>
  <c r="N273" i="2" s="1"/>
  <c r="M275" i="2"/>
  <c r="M273" i="2" s="1"/>
  <c r="P273" i="2" s="1"/>
  <c r="L275" i="2"/>
  <c r="U274" i="2"/>
  <c r="T274" i="2"/>
  <c r="P274" i="2"/>
  <c r="O274" i="2"/>
  <c r="U273" i="2"/>
  <c r="T273" i="2"/>
  <c r="S273" i="2"/>
  <c r="R273" i="2"/>
  <c r="Q273" i="2"/>
  <c r="S272" i="2"/>
  <c r="S270" i="2" s="1"/>
  <c r="R272" i="2"/>
  <c r="R270" i="2" s="1"/>
  <c r="Q272" i="2"/>
  <c r="Q269" i="2" s="1"/>
  <c r="N272" i="2"/>
  <c r="N270" i="2" s="1"/>
  <c r="M272" i="2"/>
  <c r="M270" i="2" s="1"/>
  <c r="L272" i="2"/>
  <c r="L270" i="2" s="1"/>
  <c r="O270" i="2" s="1"/>
  <c r="U271" i="2"/>
  <c r="T271" i="2"/>
  <c r="P271" i="2"/>
  <c r="O271" i="2"/>
  <c r="S268" i="2"/>
  <c r="R268" i="2"/>
  <c r="Q268" i="2"/>
  <c r="T268" i="2" s="1"/>
  <c r="P268" i="2"/>
  <c r="N268" i="2"/>
  <c r="M268" i="2"/>
  <c r="L268" i="2"/>
  <c r="J266" i="2"/>
  <c r="K264" i="2"/>
  <c r="K263" i="2"/>
  <c r="I261" i="2"/>
  <c r="L259" i="2"/>
  <c r="L258" i="2"/>
  <c r="L257" i="2"/>
  <c r="L256" i="2"/>
  <c r="P255" i="2"/>
  <c r="N255" i="2"/>
  <c r="N233" i="2" s="1"/>
  <c r="J254" i="2"/>
  <c r="K253" i="2"/>
  <c r="K252" i="2"/>
  <c r="I250" i="2"/>
  <c r="L248" i="2"/>
  <c r="L247" i="2"/>
  <c r="L246" i="2"/>
  <c r="L245" i="2"/>
  <c r="P244" i="2"/>
  <c r="N244" i="2"/>
  <c r="J243" i="2"/>
  <c r="J232" i="2" s="1"/>
  <c r="K242" i="2"/>
  <c r="J242" i="2"/>
  <c r="I242" i="2"/>
  <c r="K241" i="2"/>
  <c r="J241" i="2"/>
  <c r="I241" i="2"/>
  <c r="J239" i="2"/>
  <c r="N237" i="2"/>
  <c r="N236" i="2"/>
  <c r="N235" i="2"/>
  <c r="N234" i="2"/>
  <c r="I231" i="2"/>
  <c r="K231" i="2" s="1"/>
  <c r="I230" i="2"/>
  <c r="K230" i="2" s="1"/>
  <c r="I229" i="2"/>
  <c r="K229" i="2" s="1"/>
  <c r="L226" i="2"/>
  <c r="L225" i="2"/>
  <c r="L224" i="2"/>
  <c r="P223" i="2"/>
  <c r="N223" i="2"/>
  <c r="J222" i="2"/>
  <c r="I221" i="2"/>
  <c r="K221" i="2" s="1"/>
  <c r="I220" i="2"/>
  <c r="K220" i="2" s="1"/>
  <c r="L218" i="2"/>
  <c r="L217" i="2"/>
  <c r="L216" i="2"/>
  <c r="P215" i="2"/>
  <c r="N215" i="2"/>
  <c r="J214" i="2"/>
  <c r="I213" i="2"/>
  <c r="K213" i="2" s="1"/>
  <c r="I212" i="2"/>
  <c r="K212" i="2" s="1"/>
  <c r="I210" i="2"/>
  <c r="L208" i="2"/>
  <c r="L207" i="2"/>
  <c r="L206" i="2"/>
  <c r="L205" i="2"/>
  <c r="P204" i="2"/>
  <c r="N204" i="2"/>
  <c r="J203" i="2"/>
  <c r="J200" i="2"/>
  <c r="I199" i="2"/>
  <c r="K199" i="2" s="1"/>
  <c r="P197" i="2"/>
  <c r="L197" i="2"/>
  <c r="O197" i="2" s="1"/>
  <c r="J196" i="2"/>
  <c r="U195" i="2"/>
  <c r="T195" i="2"/>
  <c r="N195" i="2"/>
  <c r="N193" i="2" s="1"/>
  <c r="M195" i="2"/>
  <c r="L195" i="2"/>
  <c r="L193" i="2" s="1"/>
  <c r="O193" i="2" s="1"/>
  <c r="U194" i="2"/>
  <c r="T194" i="2"/>
  <c r="P194" i="2"/>
  <c r="O194" i="2"/>
  <c r="U193" i="2"/>
  <c r="S193" i="2"/>
  <c r="R193" i="2"/>
  <c r="Q193" i="2"/>
  <c r="T193" i="2" s="1"/>
  <c r="S192" i="2"/>
  <c r="S190" i="2" s="1"/>
  <c r="R192" i="2"/>
  <c r="Q192" i="2"/>
  <c r="Q190" i="2" s="1"/>
  <c r="N192" i="2"/>
  <c r="N190" i="2" s="1"/>
  <c r="M192" i="2"/>
  <c r="M190" i="2" s="1"/>
  <c r="L192" i="2"/>
  <c r="L190" i="2" s="1"/>
  <c r="U191" i="2"/>
  <c r="T191" i="2"/>
  <c r="P191" i="2"/>
  <c r="O191" i="2"/>
  <c r="S188" i="2"/>
  <c r="R188" i="2"/>
  <c r="Q188" i="2"/>
  <c r="T188" i="2" s="1"/>
  <c r="P188" i="2"/>
  <c r="N188" i="2"/>
  <c r="M188" i="2"/>
  <c r="L188" i="2"/>
  <c r="J186" i="2"/>
  <c r="K185" i="2"/>
  <c r="I184" i="2"/>
  <c r="K184" i="2" s="1"/>
  <c r="U182" i="2"/>
  <c r="T182" i="2"/>
  <c r="N182" i="2"/>
  <c r="N180" i="2" s="1"/>
  <c r="M182" i="2"/>
  <c r="P182" i="2" s="1"/>
  <c r="L182" i="2"/>
  <c r="L180" i="2" s="1"/>
  <c r="O180" i="2" s="1"/>
  <c r="U181" i="2"/>
  <c r="T181" i="2"/>
  <c r="P181" i="2"/>
  <c r="O181" i="2"/>
  <c r="S180" i="2"/>
  <c r="R180" i="2"/>
  <c r="U180" i="2" s="1"/>
  <c r="Q180" i="2"/>
  <c r="T180" i="2" s="1"/>
  <c r="S179" i="2"/>
  <c r="S176" i="2" s="1"/>
  <c r="R179" i="2"/>
  <c r="R177" i="2" s="1"/>
  <c r="U177" i="2" s="1"/>
  <c r="Q179" i="2"/>
  <c r="T179" i="2" s="1"/>
  <c r="N179" i="2"/>
  <c r="N177" i="2" s="1"/>
  <c r="M179" i="2"/>
  <c r="L179" i="2"/>
  <c r="L177" i="2" s="1"/>
  <c r="U178" i="2"/>
  <c r="T178" i="2"/>
  <c r="P178" i="2"/>
  <c r="O178" i="2"/>
  <c r="U175" i="2"/>
  <c r="T175" i="2"/>
  <c r="S175" i="2"/>
  <c r="R175" i="2"/>
  <c r="Q175" i="2"/>
  <c r="O175" i="2"/>
  <c r="N175" i="2"/>
  <c r="M175" i="2"/>
  <c r="P175" i="2" s="1"/>
  <c r="L175" i="2"/>
  <c r="J173" i="2"/>
  <c r="I170" i="2"/>
  <c r="I169" i="2"/>
  <c r="K169" i="2" s="1"/>
  <c r="I168" i="2"/>
  <c r="K168" i="2" s="1"/>
  <c r="U166" i="2"/>
  <c r="T166" i="2"/>
  <c r="N166" i="2"/>
  <c r="N164" i="2" s="1"/>
  <c r="M166" i="2"/>
  <c r="P166" i="2" s="1"/>
  <c r="L166" i="2"/>
  <c r="L164" i="2" s="1"/>
  <c r="O164" i="2" s="1"/>
  <c r="U165" i="2"/>
  <c r="T165" i="2"/>
  <c r="P165" i="2"/>
  <c r="O165" i="2"/>
  <c r="S164" i="2"/>
  <c r="R164" i="2"/>
  <c r="U164" i="2" s="1"/>
  <c r="Q164" i="2"/>
  <c r="T164" i="2" s="1"/>
  <c r="S163" i="2"/>
  <c r="S161" i="2" s="1"/>
  <c r="R163" i="2"/>
  <c r="R161" i="2" s="1"/>
  <c r="U161" i="2" s="1"/>
  <c r="Q163" i="2"/>
  <c r="T163" i="2" s="1"/>
  <c r="N163" i="2"/>
  <c r="M163" i="2"/>
  <c r="L163" i="2"/>
  <c r="L161" i="2" s="1"/>
  <c r="O161" i="2" s="1"/>
  <c r="U162" i="2"/>
  <c r="T162" i="2"/>
  <c r="P162" i="2"/>
  <c r="O162" i="2"/>
  <c r="U159" i="2"/>
  <c r="T159" i="2"/>
  <c r="S159" i="2"/>
  <c r="R159" i="2"/>
  <c r="Q159" i="2"/>
  <c r="P159" i="2"/>
  <c r="O159" i="2"/>
  <c r="N159" i="2"/>
  <c r="M159" i="2"/>
  <c r="L159" i="2"/>
  <c r="J157" i="2"/>
  <c r="I155" i="2"/>
  <c r="I137" i="2" s="1"/>
  <c r="K137" i="2" s="1"/>
  <c r="I154" i="2"/>
  <c r="K154" i="2" s="1"/>
  <c r="I153" i="2"/>
  <c r="K153" i="2" s="1"/>
  <c r="I152" i="2"/>
  <c r="K152" i="2" s="1"/>
  <c r="I151" i="2"/>
  <c r="K151" i="2" s="1"/>
  <c r="U148" i="2"/>
  <c r="T148" i="2"/>
  <c r="N148" i="2"/>
  <c r="N146" i="2" s="1"/>
  <c r="M148" i="2"/>
  <c r="M146" i="2" s="1"/>
  <c r="P146" i="2" s="1"/>
  <c r="L148" i="2"/>
  <c r="O148" i="2" s="1"/>
  <c r="U147" i="2"/>
  <c r="T147" i="2"/>
  <c r="P147" i="2"/>
  <c r="O147" i="2"/>
  <c r="S146" i="2"/>
  <c r="R146" i="2"/>
  <c r="U146" i="2" s="1"/>
  <c r="Q146" i="2"/>
  <c r="T146" i="2" s="1"/>
  <c r="S145" i="2"/>
  <c r="R145" i="2"/>
  <c r="R143" i="2" s="1"/>
  <c r="U143" i="2" s="1"/>
  <c r="Q145" i="2"/>
  <c r="T145" i="2" s="1"/>
  <c r="N145" i="2"/>
  <c r="M145" i="2"/>
  <c r="L145" i="2"/>
  <c r="O145" i="2" s="1"/>
  <c r="U144" i="2"/>
  <c r="T144" i="2"/>
  <c r="P144" i="2"/>
  <c r="O144" i="2"/>
  <c r="T141" i="2"/>
  <c r="S141" i="2"/>
  <c r="R141" i="2"/>
  <c r="Q141" i="2"/>
  <c r="N141" i="2"/>
  <c r="M141" i="2"/>
  <c r="L141" i="2"/>
  <c r="O141" i="2" s="1"/>
  <c r="J139" i="2"/>
  <c r="J138" i="2"/>
  <c r="J137" i="2"/>
  <c r="I131" i="2"/>
  <c r="K131" i="2" s="1"/>
  <c r="I130" i="2"/>
  <c r="K130" i="2" s="1"/>
  <c r="I129" i="2"/>
  <c r="K129" i="2" s="1"/>
  <c r="I128" i="2"/>
  <c r="K128" i="2" s="1"/>
  <c r="U126" i="2"/>
  <c r="T126" i="2"/>
  <c r="N126" i="2"/>
  <c r="N124" i="2" s="1"/>
  <c r="M126" i="2"/>
  <c r="P126" i="2" s="1"/>
  <c r="L126" i="2"/>
  <c r="O126" i="2" s="1"/>
  <c r="U125" i="2"/>
  <c r="T125" i="2"/>
  <c r="P125" i="2"/>
  <c r="O125" i="2"/>
  <c r="T124" i="2"/>
  <c r="S124" i="2"/>
  <c r="R124" i="2"/>
  <c r="U124" i="2" s="1"/>
  <c r="Q124" i="2"/>
  <c r="S123" i="2"/>
  <c r="S121" i="2" s="1"/>
  <c r="R123" i="2"/>
  <c r="R121" i="2" s="1"/>
  <c r="Q123" i="2"/>
  <c r="Q121" i="2" s="1"/>
  <c r="N123" i="2"/>
  <c r="N121" i="2" s="1"/>
  <c r="M123" i="2"/>
  <c r="M121" i="2" s="1"/>
  <c r="P121" i="2" s="1"/>
  <c r="L123" i="2"/>
  <c r="U122" i="2"/>
  <c r="T122" i="2"/>
  <c r="P122" i="2"/>
  <c r="O122" i="2"/>
  <c r="T119" i="2"/>
  <c r="S119" i="2"/>
  <c r="R119" i="2"/>
  <c r="Q119" i="2"/>
  <c r="N119" i="2"/>
  <c r="M119" i="2"/>
  <c r="L119" i="2"/>
  <c r="J117" i="2"/>
  <c r="I115" i="2"/>
  <c r="K115" i="2" s="1"/>
  <c r="I110" i="2"/>
  <c r="I94" i="2" s="1"/>
  <c r="K94" i="2" s="1"/>
  <c r="I109" i="2"/>
  <c r="K109" i="2" s="1"/>
  <c r="U103" i="2"/>
  <c r="T103" i="2"/>
  <c r="N103" i="2"/>
  <c r="N101" i="2" s="1"/>
  <c r="M103" i="2"/>
  <c r="P103" i="2" s="1"/>
  <c r="L103" i="2"/>
  <c r="O103" i="2" s="1"/>
  <c r="U102" i="2"/>
  <c r="T102" i="2"/>
  <c r="P102" i="2"/>
  <c r="O102" i="2"/>
  <c r="T101" i="2"/>
  <c r="S101" i="2"/>
  <c r="R101" i="2"/>
  <c r="U101" i="2" s="1"/>
  <c r="Q101" i="2"/>
  <c r="S100" i="2"/>
  <c r="S98" i="2" s="1"/>
  <c r="R100" i="2"/>
  <c r="R98" i="2" s="1"/>
  <c r="U98" i="2" s="1"/>
  <c r="Q100" i="2"/>
  <c r="Q98" i="2" s="1"/>
  <c r="T98" i="2" s="1"/>
  <c r="N100" i="2"/>
  <c r="N98" i="2" s="1"/>
  <c r="M100" i="2"/>
  <c r="P100" i="2" s="1"/>
  <c r="L100" i="2"/>
  <c r="U99" i="2"/>
  <c r="T99" i="2"/>
  <c r="P99" i="2"/>
  <c r="O99" i="2"/>
  <c r="T96" i="2"/>
  <c r="S96" i="2"/>
  <c r="R96" i="2"/>
  <c r="Q96" i="2"/>
  <c r="N96" i="2"/>
  <c r="M96" i="2"/>
  <c r="L96" i="2"/>
  <c r="J94" i="2"/>
  <c r="J93" i="2"/>
  <c r="I91" i="2"/>
  <c r="K91" i="2" s="1"/>
  <c r="I90" i="2"/>
  <c r="K90" i="2" s="1"/>
  <c r="I89" i="2"/>
  <c r="K89" i="2" s="1"/>
  <c r="I88" i="2"/>
  <c r="K88" i="2" s="1"/>
  <c r="I87" i="2"/>
  <c r="K87" i="2" s="1"/>
  <c r="I86" i="2"/>
  <c r="I85" i="2"/>
  <c r="J84" i="2"/>
  <c r="J83" i="2"/>
  <c r="J71" i="2" s="1"/>
  <c r="U81" i="2"/>
  <c r="T81" i="2"/>
  <c r="N81" i="2"/>
  <c r="M81" i="2"/>
  <c r="P81" i="2" s="1"/>
  <c r="L81" i="2"/>
  <c r="O81" i="2" s="1"/>
  <c r="U80" i="2"/>
  <c r="T80" i="2"/>
  <c r="P80" i="2"/>
  <c r="O80" i="2"/>
  <c r="U79" i="2"/>
  <c r="S79" i="2"/>
  <c r="R79" i="2"/>
  <c r="Q79" i="2"/>
  <c r="T79" i="2" s="1"/>
  <c r="S78" i="2"/>
  <c r="S76" i="2" s="1"/>
  <c r="R78" i="2"/>
  <c r="R75" i="2" s="1"/>
  <c r="U75" i="2" s="1"/>
  <c r="Q78" i="2"/>
  <c r="Q75" i="2" s="1"/>
  <c r="N78" i="2"/>
  <c r="N76" i="2" s="1"/>
  <c r="M78" i="2"/>
  <c r="L78" i="2"/>
  <c r="U77" i="2"/>
  <c r="T77" i="2"/>
  <c r="P77" i="2"/>
  <c r="O77" i="2"/>
  <c r="M76" i="2"/>
  <c r="P76" i="2" s="1"/>
  <c r="U74" i="2"/>
  <c r="T74" i="2"/>
  <c r="S74" i="2"/>
  <c r="R74" i="2"/>
  <c r="Q74" i="2"/>
  <c r="N74" i="2"/>
  <c r="M74" i="2"/>
  <c r="L74" i="2"/>
  <c r="J72" i="2"/>
  <c r="U68" i="2"/>
  <c r="T68" i="2"/>
  <c r="N68" i="2"/>
  <c r="N66" i="2" s="1"/>
  <c r="M68" i="2"/>
  <c r="L68" i="2"/>
  <c r="L66" i="2" s="1"/>
  <c r="O66" i="2" s="1"/>
  <c r="U67" i="2"/>
  <c r="T67" i="2"/>
  <c r="P67" i="2"/>
  <c r="O67" i="2"/>
  <c r="U66" i="2"/>
  <c r="T66" i="2"/>
  <c r="S66" i="2"/>
  <c r="R66" i="2"/>
  <c r="Q66" i="2"/>
  <c r="U65" i="2"/>
  <c r="T65" i="2"/>
  <c r="N65" i="2"/>
  <c r="N63" i="2" s="1"/>
  <c r="M65" i="2"/>
  <c r="M63" i="2" s="1"/>
  <c r="L65" i="2"/>
  <c r="L63" i="2" s="1"/>
  <c r="U64" i="2"/>
  <c r="T64" i="2"/>
  <c r="P64" i="2"/>
  <c r="O64" i="2"/>
  <c r="S63" i="2"/>
  <c r="R63" i="2"/>
  <c r="U63" i="2" s="1"/>
  <c r="Q63" i="2"/>
  <c r="T63" i="2" s="1"/>
  <c r="U62" i="2"/>
  <c r="T62" i="2"/>
  <c r="S62" i="2"/>
  <c r="R62" i="2"/>
  <c r="Q62" i="2"/>
  <c r="S61" i="2"/>
  <c r="S60" i="2" s="1"/>
  <c r="R61" i="2"/>
  <c r="Q61" i="2"/>
  <c r="N61" i="2"/>
  <c r="M61" i="2"/>
  <c r="P61" i="2" s="1"/>
  <c r="L61" i="2"/>
  <c r="O61" i="2" s="1"/>
  <c r="U53" i="2"/>
  <c r="T53" i="2"/>
  <c r="N53" i="2"/>
  <c r="M53" i="2"/>
  <c r="L53" i="2"/>
  <c r="U52" i="2"/>
  <c r="T52" i="2"/>
  <c r="P52" i="2"/>
  <c r="O52" i="2"/>
  <c r="U51" i="2"/>
  <c r="T51" i="2"/>
  <c r="S51" i="2"/>
  <c r="R51" i="2"/>
  <c r="Q51" i="2"/>
  <c r="N51" i="2"/>
  <c r="U50" i="2"/>
  <c r="T50" i="2"/>
  <c r="N50" i="2"/>
  <c r="N48" i="2" s="1"/>
  <c r="M50" i="2"/>
  <c r="L50" i="2"/>
  <c r="L48" i="2" s="1"/>
  <c r="U49" i="2"/>
  <c r="T49" i="2"/>
  <c r="P49" i="2"/>
  <c r="O49" i="2"/>
  <c r="S48" i="2"/>
  <c r="R48" i="2"/>
  <c r="U48" i="2" s="1"/>
  <c r="Q48" i="2"/>
  <c r="T48" i="2" s="1"/>
  <c r="U47" i="2"/>
  <c r="S47" i="2"/>
  <c r="R47" i="2"/>
  <c r="Q47" i="2"/>
  <c r="T47" i="2" s="1"/>
  <c r="U46" i="2"/>
  <c r="T46" i="2"/>
  <c r="S46" i="2"/>
  <c r="R46" i="2"/>
  <c r="Q46" i="2"/>
  <c r="O46" i="2"/>
  <c r="N46" i="2"/>
  <c r="M46" i="2"/>
  <c r="P46" i="2" s="1"/>
  <c r="L46" i="2"/>
  <c r="S45" i="2"/>
  <c r="R45" i="2"/>
  <c r="U45" i="2" s="1"/>
  <c r="U27" i="2"/>
  <c r="T27" i="2"/>
  <c r="S27" i="2"/>
  <c r="R27" i="2"/>
  <c r="Q27" i="2"/>
  <c r="T26" i="2"/>
  <c r="S26" i="2"/>
  <c r="S25" i="2" s="1"/>
  <c r="R26" i="2"/>
  <c r="U26" i="2" s="1"/>
  <c r="Q26" i="2"/>
  <c r="N26" i="2"/>
  <c r="M26" i="2"/>
  <c r="L26" i="2"/>
  <c r="O26" i="2" s="1"/>
  <c r="R25" i="2"/>
  <c r="U25" i="2" s="1"/>
  <c r="Q25" i="2"/>
  <c r="T25" i="2" s="1"/>
  <c r="T23" i="2"/>
  <c r="S23" i="2"/>
  <c r="R23" i="2"/>
  <c r="U23" i="2" s="1"/>
  <c r="Q23" i="2"/>
  <c r="N23" i="2"/>
  <c r="N20" i="2" s="1"/>
  <c r="M23" i="2"/>
  <c r="L23" i="2"/>
  <c r="O23" i="2" s="1"/>
  <c r="T20" i="2"/>
  <c r="R20" i="2"/>
  <c r="U20" i="2" s="1"/>
  <c r="Q20" i="2"/>
  <c r="M20" i="2"/>
  <c r="A790" i="1"/>
  <c r="A789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H778" i="1"/>
  <c r="J777" i="1"/>
  <c r="I777" i="1"/>
  <c r="J776" i="1"/>
  <c r="I776" i="1"/>
  <c r="J775" i="1"/>
  <c r="J760" i="1" s="1"/>
  <c r="I775" i="1"/>
  <c r="J773" i="1"/>
  <c r="J759" i="1" s="1"/>
  <c r="I773" i="1"/>
  <c r="J771" i="1"/>
  <c r="I771" i="1"/>
  <c r="K771" i="1" s="1"/>
  <c r="S769" i="1"/>
  <c r="R769" i="1"/>
  <c r="Q769" i="1"/>
  <c r="T769" i="1" s="1"/>
  <c r="N769" i="1"/>
  <c r="M769" i="1"/>
  <c r="P769" i="1" s="1"/>
  <c r="L769" i="1"/>
  <c r="S768" i="1"/>
  <c r="R768" i="1"/>
  <c r="U768" i="1" s="1"/>
  <c r="Q768" i="1"/>
  <c r="N768" i="1"/>
  <c r="M768" i="1"/>
  <c r="P768" i="1" s="1"/>
  <c r="L768" i="1"/>
  <c r="O768" i="1" s="1"/>
  <c r="S766" i="1"/>
  <c r="S763" i="1" s="1"/>
  <c r="R766" i="1"/>
  <c r="Q766" i="1"/>
  <c r="N766" i="1"/>
  <c r="M766" i="1"/>
  <c r="P766" i="1" s="1"/>
  <c r="L766" i="1"/>
  <c r="S765" i="1"/>
  <c r="S762" i="1" s="1"/>
  <c r="R765" i="1"/>
  <c r="U765" i="1" s="1"/>
  <c r="Q765" i="1"/>
  <c r="N765" i="1"/>
  <c r="N764" i="1" s="1"/>
  <c r="M765" i="1"/>
  <c r="P765" i="1" s="1"/>
  <c r="L765" i="1"/>
  <c r="J757" i="1"/>
  <c r="J756" i="1"/>
  <c r="I756" i="1"/>
  <c r="J754" i="1"/>
  <c r="J753" i="1"/>
  <c r="I753" i="1"/>
  <c r="J750" i="1"/>
  <c r="I750" i="1"/>
  <c r="J749" i="1"/>
  <c r="J747" i="1"/>
  <c r="I747" i="1"/>
  <c r="J746" i="1"/>
  <c r="J745" i="1"/>
  <c r="I745" i="1"/>
  <c r="J743" i="1"/>
  <c r="I743" i="1"/>
  <c r="J742" i="1"/>
  <c r="J741" i="1"/>
  <c r="I741" i="1"/>
  <c r="S737" i="1"/>
  <c r="R737" i="1"/>
  <c r="Q737" i="1"/>
  <c r="N737" i="1"/>
  <c r="M737" i="1"/>
  <c r="P737" i="1" s="1"/>
  <c r="L737" i="1"/>
  <c r="O737" i="1" s="1"/>
  <c r="S736" i="1"/>
  <c r="R736" i="1"/>
  <c r="Q736" i="1"/>
  <c r="T736" i="1" s="1"/>
  <c r="N736" i="1"/>
  <c r="M736" i="1"/>
  <c r="L736" i="1"/>
  <c r="O736" i="1" s="1"/>
  <c r="S734" i="1"/>
  <c r="R734" i="1"/>
  <c r="Q734" i="1"/>
  <c r="N734" i="1"/>
  <c r="M734" i="1"/>
  <c r="P734" i="1" s="1"/>
  <c r="L734" i="1"/>
  <c r="O734" i="1" s="1"/>
  <c r="S733" i="1"/>
  <c r="R733" i="1"/>
  <c r="U733" i="1" s="1"/>
  <c r="Q733" i="1"/>
  <c r="T733" i="1" s="1"/>
  <c r="N733" i="1"/>
  <c r="M733" i="1"/>
  <c r="L733" i="1"/>
  <c r="O733" i="1" s="1"/>
  <c r="I728" i="1"/>
  <c r="I727" i="1"/>
  <c r="S723" i="1"/>
  <c r="R723" i="1"/>
  <c r="U723" i="1" s="1"/>
  <c r="Q723" i="1"/>
  <c r="T723" i="1" s="1"/>
  <c r="N723" i="1"/>
  <c r="M723" i="1"/>
  <c r="P723" i="1" s="1"/>
  <c r="L723" i="1"/>
  <c r="S722" i="1"/>
  <c r="R722" i="1"/>
  <c r="U722" i="1" s="1"/>
  <c r="Q722" i="1"/>
  <c r="T722" i="1" s="1"/>
  <c r="N722" i="1"/>
  <c r="M722" i="1"/>
  <c r="L722" i="1"/>
  <c r="O722" i="1" s="1"/>
  <c r="S720" i="1"/>
  <c r="R720" i="1"/>
  <c r="U720" i="1" s="1"/>
  <c r="Q720" i="1"/>
  <c r="N720" i="1"/>
  <c r="M720" i="1"/>
  <c r="P720" i="1" s="1"/>
  <c r="L720" i="1"/>
  <c r="O720" i="1" s="1"/>
  <c r="S719" i="1"/>
  <c r="R719" i="1"/>
  <c r="Q719" i="1"/>
  <c r="T719" i="1" s="1"/>
  <c r="N719" i="1"/>
  <c r="M719" i="1"/>
  <c r="L719" i="1"/>
  <c r="O719" i="1" s="1"/>
  <c r="K713" i="1"/>
  <c r="J713" i="1"/>
  <c r="K711" i="1"/>
  <c r="J711" i="1"/>
  <c r="J710" i="1"/>
  <c r="I710" i="1"/>
  <c r="K709" i="1"/>
  <c r="J709" i="1"/>
  <c r="J708" i="1"/>
  <c r="J690" i="1" s="1"/>
  <c r="I708" i="1"/>
  <c r="K707" i="1"/>
  <c r="J707" i="1"/>
  <c r="J706" i="1"/>
  <c r="I706" i="1"/>
  <c r="K705" i="1"/>
  <c r="J705" i="1"/>
  <c r="J704" i="1"/>
  <c r="I704" i="1"/>
  <c r="K703" i="1"/>
  <c r="J701" i="1"/>
  <c r="I701" i="1"/>
  <c r="K701" i="1" s="1"/>
  <c r="S699" i="1"/>
  <c r="R699" i="1"/>
  <c r="Q699" i="1"/>
  <c r="T699" i="1" s="1"/>
  <c r="N699" i="1"/>
  <c r="M699" i="1"/>
  <c r="P699" i="1" s="1"/>
  <c r="L699" i="1"/>
  <c r="S698" i="1"/>
  <c r="R698" i="1"/>
  <c r="U698" i="1" s="1"/>
  <c r="Q698" i="1"/>
  <c r="T698" i="1" s="1"/>
  <c r="N698" i="1"/>
  <c r="M698" i="1"/>
  <c r="L698" i="1"/>
  <c r="O698" i="1" s="1"/>
  <c r="S696" i="1"/>
  <c r="R696" i="1"/>
  <c r="Q696" i="1"/>
  <c r="N696" i="1"/>
  <c r="M696" i="1"/>
  <c r="P696" i="1" s="1"/>
  <c r="L696" i="1"/>
  <c r="O696" i="1" s="1"/>
  <c r="S695" i="1"/>
  <c r="R695" i="1"/>
  <c r="U695" i="1" s="1"/>
  <c r="Q695" i="1"/>
  <c r="N695" i="1"/>
  <c r="M695" i="1"/>
  <c r="L695" i="1"/>
  <c r="O695" i="1" s="1"/>
  <c r="J689" i="1"/>
  <c r="J688" i="1"/>
  <c r="J687" i="1"/>
  <c r="J686" i="1"/>
  <c r="J685" i="1"/>
  <c r="J684" i="1"/>
  <c r="I683" i="1"/>
  <c r="K683" i="1" s="1"/>
  <c r="J682" i="1"/>
  <c r="I682" i="1"/>
  <c r="K682" i="1" s="1"/>
  <c r="J681" i="1"/>
  <c r="J680" i="1"/>
  <c r="I680" i="1"/>
  <c r="K680" i="1" s="1"/>
  <c r="J679" i="1"/>
  <c r="I679" i="1"/>
  <c r="K679" i="1" s="1"/>
  <c r="J678" i="1"/>
  <c r="J677" i="1"/>
  <c r="I677" i="1"/>
  <c r="K677" i="1" s="1"/>
  <c r="I676" i="1"/>
  <c r="K676" i="1" s="1"/>
  <c r="I675" i="1"/>
  <c r="K675" i="1" s="1"/>
  <c r="J674" i="1"/>
  <c r="I674" i="1"/>
  <c r="K674" i="1" s="1"/>
  <c r="J673" i="1"/>
  <c r="J672" i="1"/>
  <c r="J671" i="1"/>
  <c r="J670" i="1"/>
  <c r="J669" i="1"/>
  <c r="J668" i="1"/>
  <c r="J667" i="1"/>
  <c r="J666" i="1"/>
  <c r="J664" i="1"/>
  <c r="J663" i="1"/>
  <c r="I662" i="1"/>
  <c r="K662" i="1" s="1"/>
  <c r="J661" i="1"/>
  <c r="I661" i="1"/>
  <c r="J660" i="1"/>
  <c r="J659" i="1"/>
  <c r="J658" i="1"/>
  <c r="I658" i="1"/>
  <c r="J657" i="1"/>
  <c r="J656" i="1"/>
  <c r="I655" i="1"/>
  <c r="K655" i="1" s="1"/>
  <c r="J654" i="1"/>
  <c r="I654" i="1"/>
  <c r="J653" i="1"/>
  <c r="I653" i="1"/>
  <c r="K653" i="1" s="1"/>
  <c r="S651" i="1"/>
  <c r="R651" i="1"/>
  <c r="U651" i="1" s="1"/>
  <c r="Q651" i="1"/>
  <c r="T651" i="1" s="1"/>
  <c r="N651" i="1"/>
  <c r="M651" i="1"/>
  <c r="L651" i="1"/>
  <c r="O651" i="1" s="1"/>
  <c r="S650" i="1"/>
  <c r="R650" i="1"/>
  <c r="Q650" i="1"/>
  <c r="T650" i="1" s="1"/>
  <c r="N650" i="1"/>
  <c r="M650" i="1"/>
  <c r="L650" i="1"/>
  <c r="S648" i="1"/>
  <c r="R648" i="1"/>
  <c r="Q648" i="1"/>
  <c r="Q645" i="1" s="1"/>
  <c r="N648" i="1"/>
  <c r="M648" i="1"/>
  <c r="L648" i="1"/>
  <c r="O648" i="1" s="1"/>
  <c r="S647" i="1"/>
  <c r="S644" i="1" s="1"/>
  <c r="R647" i="1"/>
  <c r="Q647" i="1"/>
  <c r="N647" i="1"/>
  <c r="N644" i="1" s="1"/>
  <c r="M647" i="1"/>
  <c r="P647" i="1" s="1"/>
  <c r="L647" i="1"/>
  <c r="J641" i="1"/>
  <c r="J640" i="1"/>
  <c r="J639" i="1"/>
  <c r="J638" i="1"/>
  <c r="I636" i="1"/>
  <c r="K636" i="1" s="1"/>
  <c r="J635" i="1"/>
  <c r="J634" i="1"/>
  <c r="J632" i="1"/>
  <c r="J631" i="1"/>
  <c r="J630" i="1"/>
  <c r="J629" i="1"/>
  <c r="I629" i="1"/>
  <c r="J628" i="1"/>
  <c r="I628" i="1"/>
  <c r="I627" i="1"/>
  <c r="K631" i="1" s="1"/>
  <c r="S625" i="1"/>
  <c r="R625" i="1"/>
  <c r="U625" i="1" s="1"/>
  <c r="Q625" i="1"/>
  <c r="N625" i="1"/>
  <c r="M625" i="1"/>
  <c r="L625" i="1"/>
  <c r="O625" i="1" s="1"/>
  <c r="S624" i="1"/>
  <c r="R624" i="1"/>
  <c r="Q624" i="1"/>
  <c r="T624" i="1" s="1"/>
  <c r="N624" i="1"/>
  <c r="M624" i="1"/>
  <c r="P624" i="1" s="1"/>
  <c r="L624" i="1"/>
  <c r="O624" i="1" s="1"/>
  <c r="S622" i="1"/>
  <c r="R622" i="1"/>
  <c r="Q622" i="1"/>
  <c r="N622" i="1"/>
  <c r="M622" i="1"/>
  <c r="L622" i="1"/>
  <c r="S621" i="1"/>
  <c r="R621" i="1"/>
  <c r="U621" i="1" s="1"/>
  <c r="Q621" i="1"/>
  <c r="T621" i="1" s="1"/>
  <c r="N621" i="1"/>
  <c r="M621" i="1"/>
  <c r="P621" i="1" s="1"/>
  <c r="L621" i="1"/>
  <c r="O621" i="1" s="1"/>
  <c r="S608" i="1"/>
  <c r="R608" i="1"/>
  <c r="Q608" i="1"/>
  <c r="T608" i="1" s="1"/>
  <c r="N608" i="1"/>
  <c r="M608" i="1"/>
  <c r="P608" i="1" s="1"/>
  <c r="L608" i="1"/>
  <c r="O608" i="1" s="1"/>
  <c r="S607" i="1"/>
  <c r="R607" i="1"/>
  <c r="U607" i="1" s="1"/>
  <c r="Q607" i="1"/>
  <c r="T607" i="1" s="1"/>
  <c r="N607" i="1"/>
  <c r="M607" i="1"/>
  <c r="L607" i="1"/>
  <c r="O607" i="1" s="1"/>
  <c r="S605" i="1"/>
  <c r="S602" i="1" s="1"/>
  <c r="R605" i="1"/>
  <c r="U605" i="1" s="1"/>
  <c r="Q605" i="1"/>
  <c r="T605" i="1" s="1"/>
  <c r="N605" i="1"/>
  <c r="M605" i="1"/>
  <c r="L605" i="1"/>
  <c r="O605" i="1" s="1"/>
  <c r="S604" i="1"/>
  <c r="R604" i="1"/>
  <c r="U604" i="1" s="1"/>
  <c r="Q604" i="1"/>
  <c r="N604" i="1"/>
  <c r="M604" i="1"/>
  <c r="L604" i="1"/>
  <c r="S585" i="1"/>
  <c r="R585" i="1"/>
  <c r="U585" i="1" s="1"/>
  <c r="Q585" i="1"/>
  <c r="T585" i="1" s="1"/>
  <c r="N585" i="1"/>
  <c r="M585" i="1"/>
  <c r="L585" i="1"/>
  <c r="O585" i="1" s="1"/>
  <c r="S584" i="1"/>
  <c r="S583" i="1" s="1"/>
  <c r="R584" i="1"/>
  <c r="U584" i="1" s="1"/>
  <c r="Q584" i="1"/>
  <c r="T584" i="1" s="1"/>
  <c r="N584" i="1"/>
  <c r="N583" i="1" s="1"/>
  <c r="M584" i="1"/>
  <c r="P584" i="1" s="1"/>
  <c r="L584" i="1"/>
  <c r="L583" i="1" s="1"/>
  <c r="O583" i="1" s="1"/>
  <c r="S582" i="1"/>
  <c r="R582" i="1"/>
  <c r="U582" i="1" s="1"/>
  <c r="Q582" i="1"/>
  <c r="T582" i="1" s="1"/>
  <c r="N582" i="1"/>
  <c r="M582" i="1"/>
  <c r="L582" i="1"/>
  <c r="O582" i="1" s="1"/>
  <c r="S581" i="1"/>
  <c r="R581" i="1"/>
  <c r="Q581" i="1"/>
  <c r="N581" i="1"/>
  <c r="M581" i="1"/>
  <c r="P581" i="1" s="1"/>
  <c r="L581" i="1"/>
  <c r="L580" i="1" s="1"/>
  <c r="O580" i="1" s="1"/>
  <c r="J576" i="1"/>
  <c r="I576" i="1"/>
  <c r="K576" i="1" s="1"/>
  <c r="S564" i="1"/>
  <c r="R564" i="1"/>
  <c r="Q564" i="1"/>
  <c r="T564" i="1" s="1"/>
  <c r="N564" i="1"/>
  <c r="M564" i="1"/>
  <c r="P564" i="1" s="1"/>
  <c r="L564" i="1"/>
  <c r="O564" i="1" s="1"/>
  <c r="S563" i="1"/>
  <c r="R563" i="1"/>
  <c r="U563" i="1" s="1"/>
  <c r="Q563" i="1"/>
  <c r="T563" i="1" s="1"/>
  <c r="N563" i="1"/>
  <c r="N562" i="1" s="1"/>
  <c r="M563" i="1"/>
  <c r="L563" i="1"/>
  <c r="O563" i="1" s="1"/>
  <c r="S561" i="1"/>
  <c r="R561" i="1"/>
  <c r="U561" i="1" s="1"/>
  <c r="Q561" i="1"/>
  <c r="T561" i="1" s="1"/>
  <c r="N561" i="1"/>
  <c r="M561" i="1"/>
  <c r="M558" i="1" s="1"/>
  <c r="P558" i="1" s="1"/>
  <c r="L561" i="1"/>
  <c r="O561" i="1" s="1"/>
  <c r="S560" i="1"/>
  <c r="R560" i="1"/>
  <c r="U560" i="1" s="1"/>
  <c r="Q560" i="1"/>
  <c r="T560" i="1" s="1"/>
  <c r="N560" i="1"/>
  <c r="M560" i="1"/>
  <c r="M559" i="1" s="1"/>
  <c r="P559" i="1" s="1"/>
  <c r="L560" i="1"/>
  <c r="J555" i="1"/>
  <c r="I555" i="1"/>
  <c r="K555" i="1" s="1"/>
  <c r="S543" i="1"/>
  <c r="R543" i="1"/>
  <c r="U543" i="1" s="1"/>
  <c r="Q543" i="1"/>
  <c r="T543" i="1" s="1"/>
  <c r="N543" i="1"/>
  <c r="M543" i="1"/>
  <c r="L543" i="1"/>
  <c r="O543" i="1" s="1"/>
  <c r="S542" i="1"/>
  <c r="R542" i="1"/>
  <c r="R541" i="1" s="1"/>
  <c r="U541" i="1" s="1"/>
  <c r="Q542" i="1"/>
  <c r="N542" i="1"/>
  <c r="M542" i="1"/>
  <c r="P542" i="1" s="1"/>
  <c r="L542" i="1"/>
  <c r="L541" i="1" s="1"/>
  <c r="O541" i="1" s="1"/>
  <c r="S540" i="1"/>
  <c r="R540" i="1"/>
  <c r="Q540" i="1"/>
  <c r="T540" i="1" s="1"/>
  <c r="N540" i="1"/>
  <c r="M540" i="1"/>
  <c r="L540" i="1"/>
  <c r="O540" i="1" s="1"/>
  <c r="S539" i="1"/>
  <c r="R539" i="1"/>
  <c r="Q539" i="1"/>
  <c r="T539" i="1" s="1"/>
  <c r="N539" i="1"/>
  <c r="N536" i="1" s="1"/>
  <c r="M539" i="1"/>
  <c r="P539" i="1" s="1"/>
  <c r="L539" i="1"/>
  <c r="J534" i="1"/>
  <c r="I534" i="1"/>
  <c r="K534" i="1" s="1"/>
  <c r="K525" i="1"/>
  <c r="K524" i="1"/>
  <c r="S522" i="1"/>
  <c r="R522" i="1"/>
  <c r="Q522" i="1"/>
  <c r="T522" i="1" s="1"/>
  <c r="N522" i="1"/>
  <c r="M522" i="1"/>
  <c r="L522" i="1"/>
  <c r="S521" i="1"/>
  <c r="R521" i="1"/>
  <c r="U521" i="1" s="1"/>
  <c r="Q521" i="1"/>
  <c r="T521" i="1" s="1"/>
  <c r="N521" i="1"/>
  <c r="M521" i="1"/>
  <c r="L521" i="1"/>
  <c r="O521" i="1" s="1"/>
  <c r="S519" i="1"/>
  <c r="R519" i="1"/>
  <c r="Q519" i="1"/>
  <c r="N519" i="1"/>
  <c r="M519" i="1"/>
  <c r="P519" i="1" s="1"/>
  <c r="L519" i="1"/>
  <c r="S518" i="1"/>
  <c r="S515" i="1" s="1"/>
  <c r="R518" i="1"/>
  <c r="U518" i="1" s="1"/>
  <c r="Q518" i="1"/>
  <c r="T518" i="1" s="1"/>
  <c r="N518" i="1"/>
  <c r="M518" i="1"/>
  <c r="L518" i="1"/>
  <c r="J513" i="1"/>
  <c r="I513" i="1"/>
  <c r="K513" i="1" s="1"/>
  <c r="J510" i="1"/>
  <c r="I510" i="1"/>
  <c r="K510" i="1" s="1"/>
  <c r="K509" i="1"/>
  <c r="J508" i="1"/>
  <c r="I508" i="1"/>
  <c r="K508" i="1" s="1"/>
  <c r="J507" i="1"/>
  <c r="I507" i="1"/>
  <c r="K507" i="1" s="1"/>
  <c r="J506" i="1"/>
  <c r="I506" i="1"/>
  <c r="K506" i="1" s="1"/>
  <c r="J505" i="1"/>
  <c r="I505" i="1"/>
  <c r="K505" i="1" s="1"/>
  <c r="J504" i="1"/>
  <c r="J493" i="1" s="1"/>
  <c r="I504" i="1"/>
  <c r="I493" i="1" s="1"/>
  <c r="S502" i="1"/>
  <c r="R502" i="1"/>
  <c r="U502" i="1" s="1"/>
  <c r="Q502" i="1"/>
  <c r="T502" i="1" s="1"/>
  <c r="N502" i="1"/>
  <c r="M502" i="1"/>
  <c r="P502" i="1" s="1"/>
  <c r="L502" i="1"/>
  <c r="S501" i="1"/>
  <c r="S500" i="1" s="1"/>
  <c r="R501" i="1"/>
  <c r="U501" i="1" s="1"/>
  <c r="Q501" i="1"/>
  <c r="N501" i="1"/>
  <c r="M501" i="1"/>
  <c r="M500" i="1" s="1"/>
  <c r="P500" i="1" s="1"/>
  <c r="L501" i="1"/>
  <c r="O501" i="1" s="1"/>
  <c r="S499" i="1"/>
  <c r="R499" i="1"/>
  <c r="Q499" i="1"/>
  <c r="N499" i="1"/>
  <c r="M499" i="1"/>
  <c r="P499" i="1" s="1"/>
  <c r="L499" i="1"/>
  <c r="O499" i="1" s="1"/>
  <c r="S498" i="1"/>
  <c r="R498" i="1"/>
  <c r="Q498" i="1"/>
  <c r="N498" i="1"/>
  <c r="M498" i="1"/>
  <c r="L498" i="1"/>
  <c r="O498" i="1" s="1"/>
  <c r="J492" i="1"/>
  <c r="J491" i="1"/>
  <c r="J490" i="1"/>
  <c r="J489" i="1"/>
  <c r="J488" i="1"/>
  <c r="J487" i="1"/>
  <c r="J484" i="1"/>
  <c r="J483" i="1"/>
  <c r="J482" i="1"/>
  <c r="I486" i="1" s="1"/>
  <c r="K486" i="1" s="1"/>
  <c r="J481" i="1"/>
  <c r="I485" i="1" s="1"/>
  <c r="K485" i="1" s="1"/>
  <c r="J480" i="1"/>
  <c r="J479" i="1"/>
  <c r="K478" i="1"/>
  <c r="K477" i="1"/>
  <c r="K476" i="1"/>
  <c r="J475" i="1"/>
  <c r="J474" i="1"/>
  <c r="J473" i="1"/>
  <c r="J472" i="1"/>
  <c r="J471" i="1"/>
  <c r="J470" i="1"/>
  <c r="J467" i="1"/>
  <c r="J466" i="1"/>
  <c r="J465" i="1"/>
  <c r="J464" i="1"/>
  <c r="J463" i="1"/>
  <c r="J462" i="1"/>
  <c r="I459" i="1"/>
  <c r="K459" i="1" s="1"/>
  <c r="I458" i="1"/>
  <c r="J456" i="1"/>
  <c r="J455" i="1"/>
  <c r="J454" i="1"/>
  <c r="J453" i="1"/>
  <c r="J452" i="1"/>
  <c r="J451" i="1"/>
  <c r="J450" i="1"/>
  <c r="J449" i="1"/>
  <c r="J446" i="1"/>
  <c r="J445" i="1"/>
  <c r="J444" i="1"/>
  <c r="J443" i="1"/>
  <c r="I442" i="1"/>
  <c r="K442" i="1" s="1"/>
  <c r="I441" i="1"/>
  <c r="K441" i="1" s="1"/>
  <c r="J440" i="1"/>
  <c r="J439" i="1"/>
  <c r="J438" i="1"/>
  <c r="J437" i="1"/>
  <c r="J436" i="1"/>
  <c r="J435" i="1"/>
  <c r="I434" i="1"/>
  <c r="K434" i="1" s="1"/>
  <c r="I433" i="1"/>
  <c r="K433" i="1" s="1"/>
  <c r="J432" i="1"/>
  <c r="J431" i="1"/>
  <c r="J430" i="1"/>
  <c r="J429" i="1"/>
  <c r="J428" i="1"/>
  <c r="J427" i="1"/>
  <c r="I426" i="1"/>
  <c r="K426" i="1" s="1"/>
  <c r="I425" i="1"/>
  <c r="K425" i="1" s="1"/>
  <c r="S422" i="1"/>
  <c r="R422" i="1"/>
  <c r="Q422" i="1"/>
  <c r="T422" i="1" s="1"/>
  <c r="N422" i="1"/>
  <c r="M422" i="1"/>
  <c r="L422" i="1"/>
  <c r="O422" i="1" s="1"/>
  <c r="S421" i="1"/>
  <c r="R421" i="1"/>
  <c r="U421" i="1" s="1"/>
  <c r="Q421" i="1"/>
  <c r="T421" i="1" s="1"/>
  <c r="N421" i="1"/>
  <c r="M421" i="1"/>
  <c r="P421" i="1" s="1"/>
  <c r="L421" i="1"/>
  <c r="S419" i="1"/>
  <c r="R419" i="1"/>
  <c r="Q419" i="1"/>
  <c r="T419" i="1" s="1"/>
  <c r="N419" i="1"/>
  <c r="N416" i="1" s="1"/>
  <c r="M419" i="1"/>
  <c r="L419" i="1"/>
  <c r="S418" i="1"/>
  <c r="R418" i="1"/>
  <c r="U418" i="1" s="1"/>
  <c r="Q418" i="1"/>
  <c r="T418" i="1" s="1"/>
  <c r="N418" i="1"/>
  <c r="N417" i="1" s="1"/>
  <c r="M418" i="1"/>
  <c r="P418" i="1" s="1"/>
  <c r="L418" i="1"/>
  <c r="S401" i="1"/>
  <c r="R401" i="1"/>
  <c r="Q401" i="1"/>
  <c r="N401" i="1"/>
  <c r="M401" i="1"/>
  <c r="P401" i="1" s="1"/>
  <c r="L401" i="1"/>
  <c r="O401" i="1" s="1"/>
  <c r="S400" i="1"/>
  <c r="R400" i="1"/>
  <c r="U400" i="1" s="1"/>
  <c r="Q400" i="1"/>
  <c r="T400" i="1" s="1"/>
  <c r="N400" i="1"/>
  <c r="M400" i="1"/>
  <c r="M399" i="1" s="1"/>
  <c r="P399" i="1" s="1"/>
  <c r="L400" i="1"/>
  <c r="S398" i="1"/>
  <c r="R398" i="1"/>
  <c r="U398" i="1" s="1"/>
  <c r="Q398" i="1"/>
  <c r="T398" i="1" s="1"/>
  <c r="N398" i="1"/>
  <c r="N395" i="1" s="1"/>
  <c r="M398" i="1"/>
  <c r="L398" i="1"/>
  <c r="O398" i="1" s="1"/>
  <c r="S397" i="1"/>
  <c r="R397" i="1"/>
  <c r="U397" i="1" s="1"/>
  <c r="Q397" i="1"/>
  <c r="N397" i="1"/>
  <c r="M397" i="1"/>
  <c r="P397" i="1" s="1"/>
  <c r="L397" i="1"/>
  <c r="O397" i="1" s="1"/>
  <c r="J392" i="1"/>
  <c r="I392" i="1"/>
  <c r="K392" i="1" s="1"/>
  <c r="J389" i="1"/>
  <c r="I389" i="1"/>
  <c r="K389" i="1" s="1"/>
  <c r="J388" i="1"/>
  <c r="I388" i="1"/>
  <c r="K388" i="1" s="1"/>
  <c r="J387" i="1"/>
  <c r="I387" i="1"/>
  <c r="J386" i="1"/>
  <c r="I386" i="1"/>
  <c r="K386" i="1" s="1"/>
  <c r="S384" i="1"/>
  <c r="R384" i="1"/>
  <c r="Q384" i="1"/>
  <c r="T384" i="1" s="1"/>
  <c r="N384" i="1"/>
  <c r="M384" i="1"/>
  <c r="L384" i="1"/>
  <c r="S383" i="1"/>
  <c r="R383" i="1"/>
  <c r="U383" i="1" s="1"/>
  <c r="Q383" i="1"/>
  <c r="N383" i="1"/>
  <c r="N382" i="1" s="1"/>
  <c r="M383" i="1"/>
  <c r="P383" i="1" s="1"/>
  <c r="L383" i="1"/>
  <c r="O383" i="1" s="1"/>
  <c r="S381" i="1"/>
  <c r="R381" i="1"/>
  <c r="U381" i="1" s="1"/>
  <c r="Q381" i="1"/>
  <c r="N381" i="1"/>
  <c r="M381" i="1"/>
  <c r="L381" i="1"/>
  <c r="O381" i="1" s="1"/>
  <c r="S380" i="1"/>
  <c r="R380" i="1"/>
  <c r="U380" i="1" s="1"/>
  <c r="Q380" i="1"/>
  <c r="N380" i="1"/>
  <c r="M380" i="1"/>
  <c r="L380" i="1"/>
  <c r="L377" i="1" s="1"/>
  <c r="O377" i="1" s="1"/>
  <c r="D374" i="1"/>
  <c r="K373" i="1"/>
  <c r="J373" i="1"/>
  <c r="J372" i="1"/>
  <c r="J366" i="1" s="1"/>
  <c r="I372" i="1"/>
  <c r="K371" i="1"/>
  <c r="J371" i="1"/>
  <c r="J370" i="1"/>
  <c r="I370" i="1"/>
  <c r="J369" i="1"/>
  <c r="I369" i="1"/>
  <c r="K368" i="1"/>
  <c r="J368" i="1"/>
  <c r="S365" i="1"/>
  <c r="R365" i="1"/>
  <c r="U365" i="1" s="1"/>
  <c r="Q365" i="1"/>
  <c r="T365" i="1" s="1"/>
  <c r="N365" i="1"/>
  <c r="M365" i="1"/>
  <c r="P365" i="1" s="1"/>
  <c r="L365" i="1"/>
  <c r="S364" i="1"/>
  <c r="R364" i="1"/>
  <c r="Q364" i="1"/>
  <c r="T364" i="1" s="1"/>
  <c r="N364" i="1"/>
  <c r="N363" i="1" s="1"/>
  <c r="M364" i="1"/>
  <c r="P364" i="1" s="1"/>
  <c r="L364" i="1"/>
  <c r="O364" i="1" s="1"/>
  <c r="S362" i="1"/>
  <c r="R362" i="1"/>
  <c r="Q362" i="1"/>
  <c r="T362" i="1" s="1"/>
  <c r="N362" i="1"/>
  <c r="M362" i="1"/>
  <c r="L362" i="1"/>
  <c r="S361" i="1"/>
  <c r="R361" i="1"/>
  <c r="U361" i="1" s="1"/>
  <c r="Q361" i="1"/>
  <c r="T361" i="1" s="1"/>
  <c r="N361" i="1"/>
  <c r="M361" i="1"/>
  <c r="L361" i="1"/>
  <c r="D355" i="1"/>
  <c r="J354" i="1"/>
  <c r="J353" i="1"/>
  <c r="D351" i="1"/>
  <c r="J350" i="1"/>
  <c r="J349" i="1"/>
  <c r="J348" i="1"/>
  <c r="J347" i="1"/>
  <c r="I347" i="1"/>
  <c r="J345" i="1"/>
  <c r="I345" i="1"/>
  <c r="S342" i="1"/>
  <c r="R342" i="1"/>
  <c r="U342" i="1" s="1"/>
  <c r="Q342" i="1"/>
  <c r="N342" i="1"/>
  <c r="M342" i="1"/>
  <c r="P342" i="1" s="1"/>
  <c r="L342" i="1"/>
  <c r="O342" i="1" s="1"/>
  <c r="S341" i="1"/>
  <c r="R341" i="1"/>
  <c r="Q341" i="1"/>
  <c r="T341" i="1" s="1"/>
  <c r="N341" i="1"/>
  <c r="M341" i="1"/>
  <c r="P341" i="1" s="1"/>
  <c r="L341" i="1"/>
  <c r="O341" i="1" s="1"/>
  <c r="S339" i="1"/>
  <c r="R339" i="1"/>
  <c r="U339" i="1" s="1"/>
  <c r="Q339" i="1"/>
  <c r="N339" i="1"/>
  <c r="M339" i="1"/>
  <c r="L339" i="1"/>
  <c r="S338" i="1"/>
  <c r="R338" i="1"/>
  <c r="Q338" i="1"/>
  <c r="T338" i="1" s="1"/>
  <c r="N338" i="1"/>
  <c r="M338" i="1"/>
  <c r="P338" i="1" s="1"/>
  <c r="L338" i="1"/>
  <c r="L335" i="1" s="1"/>
  <c r="O335" i="1" s="1"/>
  <c r="J331" i="1"/>
  <c r="J320" i="1" s="1"/>
  <c r="I331" i="1"/>
  <c r="I320" i="1" s="1"/>
  <c r="S329" i="1"/>
  <c r="R329" i="1"/>
  <c r="U329" i="1" s="1"/>
  <c r="Q329" i="1"/>
  <c r="N329" i="1"/>
  <c r="M329" i="1"/>
  <c r="P329" i="1" s="1"/>
  <c r="L329" i="1"/>
  <c r="O329" i="1" s="1"/>
  <c r="S328" i="1"/>
  <c r="R328" i="1"/>
  <c r="Q328" i="1"/>
  <c r="T328" i="1" s="1"/>
  <c r="N328" i="1"/>
  <c r="M328" i="1"/>
  <c r="P328" i="1" s="1"/>
  <c r="L328" i="1"/>
  <c r="S326" i="1"/>
  <c r="R326" i="1"/>
  <c r="R323" i="1" s="1"/>
  <c r="U323" i="1" s="1"/>
  <c r="Q326" i="1"/>
  <c r="N326" i="1"/>
  <c r="M326" i="1"/>
  <c r="L326" i="1"/>
  <c r="S325" i="1"/>
  <c r="S324" i="1" s="1"/>
  <c r="R325" i="1"/>
  <c r="Q325" i="1"/>
  <c r="T325" i="1" s="1"/>
  <c r="N325" i="1"/>
  <c r="M325" i="1"/>
  <c r="P325" i="1" s="1"/>
  <c r="L325" i="1"/>
  <c r="O325" i="1" s="1"/>
  <c r="J318" i="1"/>
  <c r="I318" i="1"/>
  <c r="K318" i="1" s="1"/>
  <c r="J317" i="1"/>
  <c r="I317" i="1"/>
  <c r="K317" i="1" s="1"/>
  <c r="J316" i="1"/>
  <c r="I316" i="1"/>
  <c r="K316" i="1" s="1"/>
  <c r="J315" i="1"/>
  <c r="J303" i="1" s="1"/>
  <c r="I315" i="1"/>
  <c r="I303" i="1" s="1"/>
  <c r="J314" i="1"/>
  <c r="S312" i="1"/>
  <c r="R312" i="1"/>
  <c r="U312" i="1" s="1"/>
  <c r="Q312" i="1"/>
  <c r="T312" i="1" s="1"/>
  <c r="N312" i="1"/>
  <c r="M312" i="1"/>
  <c r="P312" i="1" s="1"/>
  <c r="L312" i="1"/>
  <c r="O312" i="1" s="1"/>
  <c r="S311" i="1"/>
  <c r="R311" i="1"/>
  <c r="U311" i="1" s="1"/>
  <c r="Q311" i="1"/>
  <c r="N311" i="1"/>
  <c r="M311" i="1"/>
  <c r="P311" i="1" s="1"/>
  <c r="L311" i="1"/>
  <c r="O311" i="1" s="1"/>
  <c r="S309" i="1"/>
  <c r="R309" i="1"/>
  <c r="Q309" i="1"/>
  <c r="N309" i="1"/>
  <c r="N306" i="1" s="1"/>
  <c r="M309" i="1"/>
  <c r="L309" i="1"/>
  <c r="L306" i="1" s="1"/>
  <c r="S308" i="1"/>
  <c r="S307" i="1" s="1"/>
  <c r="R308" i="1"/>
  <c r="U308" i="1" s="1"/>
  <c r="Q308" i="1"/>
  <c r="N308" i="1"/>
  <c r="N305" i="1" s="1"/>
  <c r="M308" i="1"/>
  <c r="P308" i="1" s="1"/>
  <c r="L308" i="1"/>
  <c r="O308" i="1" s="1"/>
  <c r="J297" i="1"/>
  <c r="I297" i="1"/>
  <c r="J296" i="1"/>
  <c r="I296" i="1"/>
  <c r="J294" i="1"/>
  <c r="J281" i="1" s="1"/>
  <c r="I294" i="1"/>
  <c r="J293" i="1"/>
  <c r="J282" i="1" s="1"/>
  <c r="I293" i="1"/>
  <c r="S291" i="1"/>
  <c r="R291" i="1"/>
  <c r="Q291" i="1"/>
  <c r="T291" i="1" s="1"/>
  <c r="N291" i="1"/>
  <c r="M291" i="1"/>
  <c r="P291" i="1" s="1"/>
  <c r="L291" i="1"/>
  <c r="S290" i="1"/>
  <c r="R290" i="1"/>
  <c r="U290" i="1" s="1"/>
  <c r="Q290" i="1"/>
  <c r="N290" i="1"/>
  <c r="N289" i="1" s="1"/>
  <c r="M290" i="1"/>
  <c r="L290" i="1"/>
  <c r="O290" i="1" s="1"/>
  <c r="S288" i="1"/>
  <c r="R288" i="1"/>
  <c r="R285" i="1" s="1"/>
  <c r="U285" i="1" s="1"/>
  <c r="Q288" i="1"/>
  <c r="N288" i="1"/>
  <c r="M288" i="1"/>
  <c r="M285" i="1" s="1"/>
  <c r="L288" i="1"/>
  <c r="L285" i="1" s="1"/>
  <c r="S287" i="1"/>
  <c r="R287" i="1"/>
  <c r="U287" i="1" s="1"/>
  <c r="Q287" i="1"/>
  <c r="T287" i="1" s="1"/>
  <c r="N287" i="1"/>
  <c r="N284" i="1" s="1"/>
  <c r="M287" i="1"/>
  <c r="P287" i="1" s="1"/>
  <c r="L287" i="1"/>
  <c r="O287" i="1" s="1"/>
  <c r="J277" i="1"/>
  <c r="I277" i="1"/>
  <c r="S275" i="1"/>
  <c r="R275" i="1"/>
  <c r="U275" i="1" s="1"/>
  <c r="Q275" i="1"/>
  <c r="T275" i="1" s="1"/>
  <c r="N275" i="1"/>
  <c r="M275" i="1"/>
  <c r="P275" i="1" s="1"/>
  <c r="L275" i="1"/>
  <c r="S274" i="1"/>
  <c r="R274" i="1"/>
  <c r="U274" i="1" s="1"/>
  <c r="Q274" i="1"/>
  <c r="T274" i="1" s="1"/>
  <c r="N274" i="1"/>
  <c r="N273" i="1" s="1"/>
  <c r="M274" i="1"/>
  <c r="P274" i="1" s="1"/>
  <c r="L274" i="1"/>
  <c r="O274" i="1" s="1"/>
  <c r="S272" i="1"/>
  <c r="R272" i="1"/>
  <c r="Q272" i="1"/>
  <c r="N272" i="1"/>
  <c r="M272" i="1"/>
  <c r="L272" i="1"/>
  <c r="S271" i="1"/>
  <c r="R271" i="1"/>
  <c r="U271" i="1" s="1"/>
  <c r="Q271" i="1"/>
  <c r="T271" i="1" s="1"/>
  <c r="N271" i="1"/>
  <c r="M271" i="1"/>
  <c r="P271" i="1" s="1"/>
  <c r="L271" i="1"/>
  <c r="O271" i="1" s="1"/>
  <c r="J266" i="1"/>
  <c r="I266" i="1"/>
  <c r="K242" i="1"/>
  <c r="J242" i="1"/>
  <c r="K241" i="1"/>
  <c r="J241" i="1"/>
  <c r="J239" i="1"/>
  <c r="I239" i="1"/>
  <c r="S237" i="1"/>
  <c r="R237" i="1"/>
  <c r="Q237" i="1"/>
  <c r="N237" i="1"/>
  <c r="M237" i="1"/>
  <c r="L237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R233" i="1" s="1"/>
  <c r="Q234" i="1"/>
  <c r="N234" i="1"/>
  <c r="M234" i="1"/>
  <c r="L234" i="1"/>
  <c r="L233" i="1" s="1"/>
  <c r="J232" i="1"/>
  <c r="I232" i="1"/>
  <c r="K232" i="1" s="1"/>
  <c r="J231" i="1"/>
  <c r="J186" i="1" s="1"/>
  <c r="I231" i="1"/>
  <c r="K231" i="1" s="1"/>
  <c r="J230" i="1"/>
  <c r="J222" i="1" s="1"/>
  <c r="I230" i="1"/>
  <c r="J229" i="1"/>
  <c r="I229" i="1"/>
  <c r="S225" i="1"/>
  <c r="R225" i="1"/>
  <c r="Q225" i="1"/>
  <c r="N225" i="1"/>
  <c r="M225" i="1"/>
  <c r="L225" i="1"/>
  <c r="S224" i="1"/>
  <c r="R224" i="1"/>
  <c r="Q224" i="1"/>
  <c r="Q223" i="1" s="1"/>
  <c r="N224" i="1"/>
  <c r="M224" i="1"/>
  <c r="M223" i="1" s="1"/>
  <c r="L224" i="1"/>
  <c r="J221" i="1"/>
  <c r="J214" i="1" s="1"/>
  <c r="I221" i="1"/>
  <c r="I214" i="1" s="1"/>
  <c r="J220" i="1"/>
  <c r="I220" i="1"/>
  <c r="S218" i="1"/>
  <c r="R218" i="1"/>
  <c r="Q218" i="1"/>
  <c r="N218" i="1"/>
  <c r="M218" i="1"/>
  <c r="L218" i="1"/>
  <c r="S217" i="1"/>
  <c r="R217" i="1"/>
  <c r="Q217" i="1"/>
  <c r="N217" i="1"/>
  <c r="M217" i="1"/>
  <c r="L217" i="1"/>
  <c r="S216" i="1"/>
  <c r="R216" i="1"/>
  <c r="Q216" i="1"/>
  <c r="N216" i="1"/>
  <c r="M216" i="1"/>
  <c r="M215" i="1" s="1"/>
  <c r="L216" i="1"/>
  <c r="K213" i="1"/>
  <c r="J213" i="1"/>
  <c r="K212" i="1"/>
  <c r="J212" i="1"/>
  <c r="J210" i="1"/>
  <c r="J203" i="1" s="1"/>
  <c r="I210" i="1"/>
  <c r="I203" i="1" s="1"/>
  <c r="S208" i="1"/>
  <c r="R208" i="1"/>
  <c r="Q208" i="1"/>
  <c r="N208" i="1"/>
  <c r="M208" i="1"/>
  <c r="L208" i="1"/>
  <c r="S207" i="1"/>
  <c r="R207" i="1"/>
  <c r="Q207" i="1"/>
  <c r="N207" i="1"/>
  <c r="M207" i="1"/>
  <c r="L207" i="1"/>
  <c r="S205" i="1"/>
  <c r="R205" i="1"/>
  <c r="Q205" i="1"/>
  <c r="N205" i="1"/>
  <c r="N204" i="1" s="1"/>
  <c r="M205" i="1"/>
  <c r="M204" i="1" s="1"/>
  <c r="L205" i="1"/>
  <c r="L204" i="1" s="1"/>
  <c r="J202" i="1"/>
  <c r="J201" i="1"/>
  <c r="J199" i="1"/>
  <c r="I199" i="1"/>
  <c r="I196" i="1" s="1"/>
  <c r="S197" i="1"/>
  <c r="R197" i="1"/>
  <c r="Q197" i="1"/>
  <c r="N197" i="1"/>
  <c r="M197" i="1"/>
  <c r="L197" i="1"/>
  <c r="S195" i="1"/>
  <c r="R195" i="1"/>
  <c r="Q195" i="1"/>
  <c r="T195" i="1" s="1"/>
  <c r="N195" i="1"/>
  <c r="M195" i="1"/>
  <c r="L195" i="1"/>
  <c r="S194" i="1"/>
  <c r="R194" i="1"/>
  <c r="U194" i="1" s="1"/>
  <c r="Q194" i="1"/>
  <c r="N194" i="1"/>
  <c r="M194" i="1"/>
  <c r="P194" i="1" s="1"/>
  <c r="L194" i="1"/>
  <c r="O194" i="1" s="1"/>
  <c r="S192" i="1"/>
  <c r="R192" i="1"/>
  <c r="R189" i="1" s="1"/>
  <c r="Q192" i="1"/>
  <c r="N192" i="1"/>
  <c r="M192" i="1"/>
  <c r="L192" i="1"/>
  <c r="L189" i="1" s="1"/>
  <c r="S191" i="1"/>
  <c r="S188" i="1" s="1"/>
  <c r="R191" i="1"/>
  <c r="R188" i="1" s="1"/>
  <c r="U188" i="1" s="1"/>
  <c r="Q191" i="1"/>
  <c r="N191" i="1"/>
  <c r="M191" i="1"/>
  <c r="P191" i="1" s="1"/>
  <c r="L191" i="1"/>
  <c r="L188" i="1" s="1"/>
  <c r="K185" i="1"/>
  <c r="J184" i="1"/>
  <c r="J173" i="1" s="1"/>
  <c r="I184" i="1"/>
  <c r="S182" i="1"/>
  <c r="R182" i="1"/>
  <c r="U182" i="1" s="1"/>
  <c r="Q182" i="1"/>
  <c r="T182" i="1" s="1"/>
  <c r="N182" i="1"/>
  <c r="M182" i="1"/>
  <c r="P182" i="1" s="1"/>
  <c r="L182" i="1"/>
  <c r="O182" i="1" s="1"/>
  <c r="S181" i="1"/>
  <c r="R181" i="1"/>
  <c r="Q181" i="1"/>
  <c r="T181" i="1" s="1"/>
  <c r="N181" i="1"/>
  <c r="M181" i="1"/>
  <c r="L181" i="1"/>
  <c r="S179" i="1"/>
  <c r="R179" i="1"/>
  <c r="U179" i="1" s="1"/>
  <c r="Q179" i="1"/>
  <c r="T179" i="1" s="1"/>
  <c r="N179" i="1"/>
  <c r="M179" i="1"/>
  <c r="L179" i="1"/>
  <c r="S178" i="1"/>
  <c r="S177" i="1" s="1"/>
  <c r="R178" i="1"/>
  <c r="Q178" i="1"/>
  <c r="T178" i="1" s="1"/>
  <c r="N178" i="1"/>
  <c r="N175" i="1" s="1"/>
  <c r="M178" i="1"/>
  <c r="P178" i="1" s="1"/>
  <c r="L178" i="1"/>
  <c r="J168" i="1"/>
  <c r="I168" i="1"/>
  <c r="I169" i="1" s="1"/>
  <c r="S166" i="1"/>
  <c r="R166" i="1"/>
  <c r="U166" i="1" s="1"/>
  <c r="Q166" i="1"/>
  <c r="T166" i="1" s="1"/>
  <c r="N166" i="1"/>
  <c r="M166" i="1"/>
  <c r="P166" i="1" s="1"/>
  <c r="L166" i="1"/>
  <c r="O166" i="1" s="1"/>
  <c r="S165" i="1"/>
  <c r="R165" i="1"/>
  <c r="U165" i="1" s="1"/>
  <c r="Q165" i="1"/>
  <c r="T165" i="1" s="1"/>
  <c r="N165" i="1"/>
  <c r="M165" i="1"/>
  <c r="P165" i="1" s="1"/>
  <c r="L165" i="1"/>
  <c r="O165" i="1" s="1"/>
  <c r="S163" i="1"/>
  <c r="R163" i="1"/>
  <c r="U163" i="1" s="1"/>
  <c r="Q163" i="1"/>
  <c r="T163" i="1" s="1"/>
  <c r="N163" i="1"/>
  <c r="M163" i="1"/>
  <c r="L163" i="1"/>
  <c r="S162" i="1"/>
  <c r="S159" i="1" s="1"/>
  <c r="R162" i="1"/>
  <c r="U162" i="1" s="1"/>
  <c r="Q162" i="1"/>
  <c r="N162" i="1"/>
  <c r="M162" i="1"/>
  <c r="L162" i="1"/>
  <c r="O162" i="1" s="1"/>
  <c r="J157" i="1"/>
  <c r="J155" i="1"/>
  <c r="J137" i="1" s="1"/>
  <c r="I155" i="1"/>
  <c r="J154" i="1"/>
  <c r="J139" i="1" s="1"/>
  <c r="I154" i="1"/>
  <c r="J153" i="1"/>
  <c r="J138" i="1" s="1"/>
  <c r="I153" i="1"/>
  <c r="J152" i="1"/>
  <c r="I152" i="1"/>
  <c r="J151" i="1"/>
  <c r="I151" i="1"/>
  <c r="J150" i="1"/>
  <c r="S148" i="1"/>
  <c r="R148" i="1"/>
  <c r="U148" i="1" s="1"/>
  <c r="Q148" i="1"/>
  <c r="T148" i="1" s="1"/>
  <c r="N148" i="1"/>
  <c r="M148" i="1"/>
  <c r="P148" i="1" s="1"/>
  <c r="L148" i="1"/>
  <c r="O148" i="1" s="1"/>
  <c r="S147" i="1"/>
  <c r="S146" i="1" s="1"/>
  <c r="R147" i="1"/>
  <c r="Q147" i="1"/>
  <c r="T147" i="1" s="1"/>
  <c r="N147" i="1"/>
  <c r="M147" i="1"/>
  <c r="P147" i="1" s="1"/>
  <c r="L147" i="1"/>
  <c r="S145" i="1"/>
  <c r="S142" i="1" s="1"/>
  <c r="R145" i="1"/>
  <c r="Q145" i="1"/>
  <c r="T145" i="1" s="1"/>
  <c r="N145" i="1"/>
  <c r="M145" i="1"/>
  <c r="L145" i="1"/>
  <c r="S144" i="1"/>
  <c r="R144" i="1"/>
  <c r="R141" i="1" s="1"/>
  <c r="Q144" i="1"/>
  <c r="Q143" i="1" s="1"/>
  <c r="T143" i="1" s="1"/>
  <c r="N144" i="1"/>
  <c r="M144" i="1"/>
  <c r="P144" i="1" s="1"/>
  <c r="L144" i="1"/>
  <c r="L141" i="1" s="1"/>
  <c r="J131" i="1"/>
  <c r="I131" i="1"/>
  <c r="K131" i="1" s="1"/>
  <c r="J130" i="1"/>
  <c r="I130" i="1"/>
  <c r="J129" i="1"/>
  <c r="I129" i="1"/>
  <c r="K129" i="1" s="1"/>
  <c r="J128" i="1"/>
  <c r="I128" i="1"/>
  <c r="I117" i="1" s="1"/>
  <c r="S126" i="1"/>
  <c r="R126" i="1"/>
  <c r="U126" i="1" s="1"/>
  <c r="Q126" i="1"/>
  <c r="N126" i="1"/>
  <c r="M126" i="1"/>
  <c r="P126" i="1" s="1"/>
  <c r="L126" i="1"/>
  <c r="O126" i="1" s="1"/>
  <c r="S125" i="1"/>
  <c r="R125" i="1"/>
  <c r="Q125" i="1"/>
  <c r="T125" i="1" s="1"/>
  <c r="N125" i="1"/>
  <c r="N124" i="1" s="1"/>
  <c r="M125" i="1"/>
  <c r="P125" i="1" s="1"/>
  <c r="L125" i="1"/>
  <c r="S123" i="1"/>
  <c r="R123" i="1"/>
  <c r="R120" i="1" s="1"/>
  <c r="Q123" i="1"/>
  <c r="N123" i="1"/>
  <c r="M123" i="1"/>
  <c r="P123" i="1" s="1"/>
  <c r="L123" i="1"/>
  <c r="S122" i="1"/>
  <c r="S121" i="1" s="1"/>
  <c r="R122" i="1"/>
  <c r="Q122" i="1"/>
  <c r="T122" i="1" s="1"/>
  <c r="N122" i="1"/>
  <c r="M122" i="1"/>
  <c r="P122" i="1" s="1"/>
  <c r="L122" i="1"/>
  <c r="J115" i="1"/>
  <c r="I115" i="1"/>
  <c r="J114" i="1"/>
  <c r="I114" i="1"/>
  <c r="J110" i="1"/>
  <c r="I110" i="1"/>
  <c r="I94" i="1" s="1"/>
  <c r="J109" i="1"/>
  <c r="J93" i="1" s="1"/>
  <c r="I109" i="1"/>
  <c r="I93" i="1" s="1"/>
  <c r="S103" i="1"/>
  <c r="R103" i="1"/>
  <c r="U103" i="1" s="1"/>
  <c r="Q103" i="1"/>
  <c r="T103" i="1" s="1"/>
  <c r="N103" i="1"/>
  <c r="M103" i="1"/>
  <c r="L103" i="1"/>
  <c r="O103" i="1" s="1"/>
  <c r="S102" i="1"/>
  <c r="R102" i="1"/>
  <c r="Q102" i="1"/>
  <c r="T102" i="1" s="1"/>
  <c r="N102" i="1"/>
  <c r="M102" i="1"/>
  <c r="P102" i="1" s="1"/>
  <c r="L102" i="1"/>
  <c r="S100" i="1"/>
  <c r="R100" i="1"/>
  <c r="Q100" i="1"/>
  <c r="N100" i="1"/>
  <c r="M100" i="1"/>
  <c r="P100" i="1" s="1"/>
  <c r="L100" i="1"/>
  <c r="O100" i="1" s="1"/>
  <c r="S99" i="1"/>
  <c r="R99" i="1"/>
  <c r="Q99" i="1"/>
  <c r="T99" i="1" s="1"/>
  <c r="N99" i="1"/>
  <c r="N96" i="1" s="1"/>
  <c r="M99" i="1"/>
  <c r="L99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S81" i="1"/>
  <c r="R81" i="1"/>
  <c r="U81" i="1" s="1"/>
  <c r="Q81" i="1"/>
  <c r="T81" i="1" s="1"/>
  <c r="N81" i="1"/>
  <c r="M81" i="1"/>
  <c r="P81" i="1" s="1"/>
  <c r="L81" i="1"/>
  <c r="O81" i="1" s="1"/>
  <c r="S80" i="1"/>
  <c r="R80" i="1"/>
  <c r="R79" i="1" s="1"/>
  <c r="U79" i="1" s="1"/>
  <c r="Q80" i="1"/>
  <c r="T80" i="1" s="1"/>
  <c r="N80" i="1"/>
  <c r="N79" i="1" s="1"/>
  <c r="M80" i="1"/>
  <c r="L80" i="1"/>
  <c r="S78" i="1"/>
  <c r="R78" i="1"/>
  <c r="R75" i="1" s="1"/>
  <c r="Q78" i="1"/>
  <c r="N78" i="1"/>
  <c r="N75" i="1" s="1"/>
  <c r="M78" i="1"/>
  <c r="L78" i="1"/>
  <c r="S77" i="1"/>
  <c r="R77" i="1"/>
  <c r="Q77" i="1"/>
  <c r="T77" i="1" s="1"/>
  <c r="N77" i="1"/>
  <c r="M77" i="1"/>
  <c r="P77" i="1" s="1"/>
  <c r="L77" i="1"/>
  <c r="O77" i="1" s="1"/>
  <c r="S68" i="1"/>
  <c r="R68" i="1"/>
  <c r="U68" i="1" s="1"/>
  <c r="Q68" i="1"/>
  <c r="T68" i="1" s="1"/>
  <c r="N68" i="1"/>
  <c r="M68" i="1"/>
  <c r="P68" i="1" s="1"/>
  <c r="L68" i="1"/>
  <c r="O68" i="1" s="1"/>
  <c r="S67" i="1"/>
  <c r="R67" i="1"/>
  <c r="Q67" i="1"/>
  <c r="T67" i="1" s="1"/>
  <c r="N67" i="1"/>
  <c r="M67" i="1"/>
  <c r="P67" i="1" s="1"/>
  <c r="L67" i="1"/>
  <c r="O67" i="1" s="1"/>
  <c r="S65" i="1"/>
  <c r="S62" i="1" s="1"/>
  <c r="R65" i="1"/>
  <c r="U65" i="1" s="1"/>
  <c r="Q65" i="1"/>
  <c r="T65" i="1" s="1"/>
  <c r="N65" i="1"/>
  <c r="M65" i="1"/>
  <c r="L65" i="1"/>
  <c r="S64" i="1"/>
  <c r="R64" i="1"/>
  <c r="U64" i="1" s="1"/>
  <c r="Q64" i="1"/>
  <c r="T64" i="1" s="1"/>
  <c r="N64" i="1"/>
  <c r="M64" i="1"/>
  <c r="P64" i="1" s="1"/>
  <c r="L64" i="1"/>
  <c r="S53" i="1"/>
  <c r="S51" i="1" s="1"/>
  <c r="R53" i="1"/>
  <c r="R51" i="1" s="1"/>
  <c r="U51" i="1" s="1"/>
  <c r="Q53" i="1"/>
  <c r="Q51" i="1" s="1"/>
  <c r="T51" i="1" s="1"/>
  <c r="N53" i="1"/>
  <c r="N51" i="1" s="1"/>
  <c r="M53" i="1"/>
  <c r="P53" i="1" s="1"/>
  <c r="L53" i="1"/>
  <c r="L51" i="1" s="1"/>
  <c r="O51" i="1" s="1"/>
  <c r="U52" i="1"/>
  <c r="T52" i="1"/>
  <c r="P52" i="1"/>
  <c r="O52" i="1"/>
  <c r="S50" i="1"/>
  <c r="R50" i="1"/>
  <c r="R48" i="1" s="1"/>
  <c r="U48" i="1" s="1"/>
  <c r="Q50" i="1"/>
  <c r="Q48" i="1" s="1"/>
  <c r="T48" i="1" s="1"/>
  <c r="N50" i="1"/>
  <c r="N48" i="1" s="1"/>
  <c r="M50" i="1"/>
  <c r="L50" i="1"/>
  <c r="L48" i="1" s="1"/>
  <c r="U49" i="1"/>
  <c r="T49" i="1"/>
  <c r="P49" i="1"/>
  <c r="O49" i="1"/>
  <c r="S46" i="1"/>
  <c r="R46" i="1"/>
  <c r="Q46" i="1"/>
  <c r="P46" i="1"/>
  <c r="N46" i="1"/>
  <c r="M46" i="1"/>
  <c r="L46" i="1"/>
  <c r="I139" i="13" l="1"/>
  <c r="K139" i="13" s="1"/>
  <c r="Q204" i="1"/>
  <c r="R416" i="8"/>
  <c r="U416" i="8" s="1"/>
  <c r="M363" i="14"/>
  <c r="P363" i="14" s="1"/>
  <c r="S164" i="1"/>
  <c r="R645" i="1"/>
  <c r="Q763" i="15"/>
  <c r="Q761" i="15" s="1"/>
  <c r="M363" i="4"/>
  <c r="P363" i="4" s="1"/>
  <c r="R763" i="1"/>
  <c r="M161" i="7"/>
  <c r="P161" i="7" s="1"/>
  <c r="M324" i="7"/>
  <c r="P324" i="7" s="1"/>
  <c r="M340" i="13"/>
  <c r="P340" i="13" s="1"/>
  <c r="M307" i="12"/>
  <c r="P307" i="12" s="1"/>
  <c r="M285" i="14"/>
  <c r="M283" i="14" s="1"/>
  <c r="P283" i="14" s="1"/>
  <c r="S363" i="1"/>
  <c r="S120" i="1"/>
  <c r="U120" i="1" s="1"/>
  <c r="N63" i="15"/>
  <c r="M307" i="6"/>
  <c r="P307" i="6" s="1"/>
  <c r="Q215" i="1"/>
  <c r="L520" i="15"/>
  <c r="O520" i="15" s="1"/>
  <c r="U622" i="15"/>
  <c r="L236" i="15"/>
  <c r="L289" i="15"/>
  <c r="O289" i="15" s="1"/>
  <c r="M180" i="10"/>
  <c r="P180" i="10" s="1"/>
  <c r="I137" i="15"/>
  <c r="K137" i="15" s="1"/>
  <c r="O288" i="15"/>
  <c r="L120" i="13"/>
  <c r="O120" i="13" s="1"/>
  <c r="S176" i="1"/>
  <c r="I137" i="11"/>
  <c r="K137" i="11" s="1"/>
  <c r="R97" i="15"/>
  <c r="R95" i="15" s="1"/>
  <c r="U95" i="15" s="1"/>
  <c r="I137" i="12"/>
  <c r="K137" i="12" s="1"/>
  <c r="K369" i="14"/>
  <c r="L516" i="14"/>
  <c r="L514" i="14" s="1"/>
  <c r="O514" i="14" s="1"/>
  <c r="M146" i="12"/>
  <c r="P146" i="12" s="1"/>
  <c r="I94" i="15"/>
  <c r="K94" i="15" s="1"/>
  <c r="M142" i="11"/>
  <c r="P142" i="11" s="1"/>
  <c r="I616" i="14"/>
  <c r="L235" i="15"/>
  <c r="M233" i="1"/>
  <c r="S645" i="15"/>
  <c r="S643" i="15" s="1"/>
  <c r="O161" i="15"/>
  <c r="R176" i="15"/>
  <c r="U176" i="15" s="1"/>
  <c r="M520" i="5"/>
  <c r="P520" i="5" s="1"/>
  <c r="R496" i="5"/>
  <c r="U496" i="5" s="1"/>
  <c r="R75" i="10"/>
  <c r="U75" i="10" s="1"/>
  <c r="I375" i="12"/>
  <c r="S189" i="14"/>
  <c r="S187" i="14" s="1"/>
  <c r="T187" i="14" s="1"/>
  <c r="R416" i="15"/>
  <c r="U416" i="15" s="1"/>
  <c r="Q160" i="14"/>
  <c r="T160" i="14" s="1"/>
  <c r="O166" i="14"/>
  <c r="L193" i="15"/>
  <c r="O193" i="15" s="1"/>
  <c r="S416" i="15"/>
  <c r="S414" i="15" s="1"/>
  <c r="J702" i="15"/>
  <c r="Q161" i="14"/>
  <c r="T161" i="14" s="1"/>
  <c r="N120" i="15"/>
  <c r="N118" i="15" s="1"/>
  <c r="I203" i="15"/>
  <c r="K203" i="15" s="1"/>
  <c r="K781" i="15"/>
  <c r="I760" i="14"/>
  <c r="K760" i="14" s="1"/>
  <c r="P326" i="15"/>
  <c r="S160" i="14"/>
  <c r="S158" i="14" s="1"/>
  <c r="S98" i="15"/>
  <c r="U98" i="15" s="1"/>
  <c r="S189" i="15"/>
  <c r="S187" i="15" s="1"/>
  <c r="K230" i="15"/>
  <c r="P339" i="15"/>
  <c r="I690" i="15"/>
  <c r="K690" i="15" s="1"/>
  <c r="K779" i="15"/>
  <c r="S180" i="1"/>
  <c r="L324" i="7"/>
  <c r="O324" i="7" s="1"/>
  <c r="P65" i="15"/>
  <c r="I173" i="15"/>
  <c r="K173" i="15" s="1"/>
  <c r="P179" i="15"/>
  <c r="P192" i="15"/>
  <c r="L223" i="15"/>
  <c r="O223" i="15" s="1"/>
  <c r="I424" i="15"/>
  <c r="K424" i="15" s="1"/>
  <c r="I493" i="15"/>
  <c r="K783" i="15"/>
  <c r="O100" i="15"/>
  <c r="M142" i="15"/>
  <c r="S379" i="15"/>
  <c r="U648" i="15"/>
  <c r="M76" i="4"/>
  <c r="P76" i="4" s="1"/>
  <c r="I83" i="15"/>
  <c r="K83" i="15" s="1"/>
  <c r="N142" i="15"/>
  <c r="N140" i="15" s="1"/>
  <c r="P286" i="15"/>
  <c r="T381" i="15"/>
  <c r="R645" i="15"/>
  <c r="U645" i="15" s="1"/>
  <c r="Q646" i="15"/>
  <c r="T646" i="15" s="1"/>
  <c r="L66" i="13"/>
  <c r="O66" i="13" s="1"/>
  <c r="R120" i="14"/>
  <c r="R118" i="14" s="1"/>
  <c r="N306" i="14"/>
  <c r="N304" i="14" s="1"/>
  <c r="I690" i="14"/>
  <c r="K690" i="14" s="1"/>
  <c r="K710" i="14"/>
  <c r="U192" i="15"/>
  <c r="Q378" i="15"/>
  <c r="T378" i="15" s="1"/>
  <c r="Q416" i="13"/>
  <c r="T416" i="13" s="1"/>
  <c r="L340" i="14"/>
  <c r="O340" i="14" s="1"/>
  <c r="L79" i="15"/>
  <c r="O79" i="15" s="1"/>
  <c r="I93" i="15"/>
  <c r="K93" i="15" s="1"/>
  <c r="O145" i="15"/>
  <c r="L273" i="15"/>
  <c r="O273" i="15" s="1"/>
  <c r="I320" i="15"/>
  <c r="K320" i="15" s="1"/>
  <c r="K775" i="15"/>
  <c r="K785" i="15"/>
  <c r="M142" i="14"/>
  <c r="P142" i="14" s="1"/>
  <c r="O163" i="14"/>
  <c r="O53" i="15"/>
  <c r="Q76" i="15"/>
  <c r="T76" i="15" s="1"/>
  <c r="Q143" i="15"/>
  <c r="T143" i="15" s="1"/>
  <c r="P145" i="15"/>
  <c r="R189" i="15"/>
  <c r="U189" i="15" s="1"/>
  <c r="S270" i="15"/>
  <c r="U270" i="15" s="1"/>
  <c r="M273" i="15"/>
  <c r="P273" i="15" s="1"/>
  <c r="N359" i="15"/>
  <c r="N357" i="15" s="1"/>
  <c r="Q731" i="15"/>
  <c r="T731" i="15" s="1"/>
  <c r="M121" i="12"/>
  <c r="P121" i="12" s="1"/>
  <c r="I173" i="9"/>
  <c r="K173" i="9" s="1"/>
  <c r="U100" i="13"/>
  <c r="P53" i="15"/>
  <c r="N160" i="15"/>
  <c r="N158" i="15" s="1"/>
  <c r="S267" i="15"/>
  <c r="N306" i="15"/>
  <c r="N304" i="15" s="1"/>
  <c r="O519" i="15"/>
  <c r="J703" i="15"/>
  <c r="S74" i="1"/>
  <c r="O50" i="15"/>
  <c r="P163" i="15"/>
  <c r="T272" i="15"/>
  <c r="O307" i="15"/>
  <c r="O309" i="15"/>
  <c r="K347" i="15"/>
  <c r="J352" i="15"/>
  <c r="K370" i="15"/>
  <c r="Q496" i="15"/>
  <c r="Q494" i="15" s="1"/>
  <c r="M98" i="10"/>
  <c r="P98" i="10" s="1"/>
  <c r="M180" i="15"/>
  <c r="P180" i="15" s="1"/>
  <c r="I243" i="11"/>
  <c r="K243" i="11" s="1"/>
  <c r="K779" i="14"/>
  <c r="K782" i="14"/>
  <c r="K785" i="14"/>
  <c r="P48" i="15"/>
  <c r="P50" i="15"/>
  <c r="M190" i="15"/>
  <c r="P190" i="15" s="1"/>
  <c r="U272" i="15"/>
  <c r="K706" i="15"/>
  <c r="L160" i="14"/>
  <c r="O160" i="14" s="1"/>
  <c r="Q177" i="14"/>
  <c r="T177" i="14" s="1"/>
  <c r="N27" i="15"/>
  <c r="N25" i="15" s="1"/>
  <c r="Q98" i="15"/>
  <c r="R143" i="15"/>
  <c r="U143" i="15" s="1"/>
  <c r="Q190" i="15"/>
  <c r="T190" i="15" s="1"/>
  <c r="M269" i="15"/>
  <c r="M267" i="15" s="1"/>
  <c r="P272" i="15"/>
  <c r="K372" i="15"/>
  <c r="Q693" i="15"/>
  <c r="Q691" i="15" s="1"/>
  <c r="R763" i="15"/>
  <c r="R761" i="15" s="1"/>
  <c r="M62" i="15"/>
  <c r="P62" i="15" s="1"/>
  <c r="S75" i="12"/>
  <c r="S73" i="12" s="1"/>
  <c r="L98" i="12"/>
  <c r="O98" i="12" s="1"/>
  <c r="U100" i="15"/>
  <c r="O163" i="15"/>
  <c r="R190" i="15"/>
  <c r="U190" i="15" s="1"/>
  <c r="O192" i="15"/>
  <c r="K221" i="15"/>
  <c r="L237" i="15"/>
  <c r="K293" i="15"/>
  <c r="O326" i="15"/>
  <c r="L336" i="15"/>
  <c r="L334" i="15" s="1"/>
  <c r="P519" i="15"/>
  <c r="J676" i="15"/>
  <c r="K786" i="15"/>
  <c r="R619" i="5"/>
  <c r="R617" i="5" s="1"/>
  <c r="U617" i="5" s="1"/>
  <c r="M180" i="13"/>
  <c r="P180" i="13" s="1"/>
  <c r="M63" i="15"/>
  <c r="P63" i="15" s="1"/>
  <c r="Q75" i="14"/>
  <c r="T75" i="14" s="1"/>
  <c r="T78" i="14"/>
  <c r="N24" i="15"/>
  <c r="T123" i="15"/>
  <c r="L142" i="15"/>
  <c r="M160" i="15"/>
  <c r="P160" i="15" s="1"/>
  <c r="M176" i="15"/>
  <c r="M174" i="15" s="1"/>
  <c r="O190" i="15"/>
  <c r="M189" i="15"/>
  <c r="M187" i="15" s="1"/>
  <c r="I239" i="15"/>
  <c r="K239" i="15" s="1"/>
  <c r="L234" i="15"/>
  <c r="K630" i="15"/>
  <c r="K710" i="15"/>
  <c r="K784" i="15"/>
  <c r="M124" i="15"/>
  <c r="P124" i="15" s="1"/>
  <c r="P50" i="14"/>
  <c r="L120" i="15"/>
  <c r="O120" i="15" s="1"/>
  <c r="N189" i="15"/>
  <c r="N187" i="15" s="1"/>
  <c r="M306" i="15"/>
  <c r="M304" i="15" s="1"/>
  <c r="Q416" i="15"/>
  <c r="T416" i="15" s="1"/>
  <c r="I457" i="15"/>
  <c r="K457" i="15" s="1"/>
  <c r="S619" i="15"/>
  <c r="S617" i="15" s="1"/>
  <c r="K780" i="13"/>
  <c r="K786" i="13"/>
  <c r="M161" i="15"/>
  <c r="P161" i="15" s="1"/>
  <c r="M177" i="15"/>
  <c r="P177" i="15" s="1"/>
  <c r="N193" i="15"/>
  <c r="K345" i="15"/>
  <c r="K369" i="15"/>
  <c r="Q379" i="15"/>
  <c r="J375" i="15"/>
  <c r="Q645" i="15"/>
  <c r="T645" i="15" s="1"/>
  <c r="K780" i="15"/>
  <c r="Q187" i="15"/>
  <c r="U142" i="15"/>
  <c r="R140" i="15"/>
  <c r="U140" i="15" s="1"/>
  <c r="I117" i="12"/>
  <c r="K117" i="12" s="1"/>
  <c r="I173" i="14"/>
  <c r="K173" i="14" s="1"/>
  <c r="K347" i="14"/>
  <c r="J352" i="14"/>
  <c r="Q378" i="14"/>
  <c r="Q376" i="14" s="1"/>
  <c r="Q24" i="15"/>
  <c r="Q21" i="15" s="1"/>
  <c r="Q19" i="15" s="1"/>
  <c r="K85" i="15"/>
  <c r="T100" i="15"/>
  <c r="L143" i="15"/>
  <c r="O143" i="15" s="1"/>
  <c r="L244" i="15"/>
  <c r="O244" i="15" s="1"/>
  <c r="N269" i="15"/>
  <c r="N267" i="15" s="1"/>
  <c r="N270" i="15"/>
  <c r="P270" i="15" s="1"/>
  <c r="K277" i="15"/>
  <c r="M327" i="15"/>
  <c r="P327" i="15" s="1"/>
  <c r="N336" i="15"/>
  <c r="N334" i="15" s="1"/>
  <c r="N337" i="15"/>
  <c r="P337" i="15" s="1"/>
  <c r="N516" i="15"/>
  <c r="N514" i="15" s="1"/>
  <c r="T620" i="15"/>
  <c r="U696" i="15"/>
  <c r="K728" i="15"/>
  <c r="T734" i="15"/>
  <c r="P76" i="15"/>
  <c r="K196" i="15"/>
  <c r="K266" i="15"/>
  <c r="J675" i="12"/>
  <c r="R378" i="14"/>
  <c r="U378" i="14" s="1"/>
  <c r="R24" i="15"/>
  <c r="R21" i="15" s="1"/>
  <c r="R19" i="15" s="1"/>
  <c r="L47" i="15"/>
  <c r="L45" i="15" s="1"/>
  <c r="M66" i="15"/>
  <c r="P66" i="15" s="1"/>
  <c r="L97" i="15"/>
  <c r="M98" i="15"/>
  <c r="P98" i="15" s="1"/>
  <c r="Q121" i="15"/>
  <c r="M143" i="15"/>
  <c r="P143" i="15" s="1"/>
  <c r="U145" i="15"/>
  <c r="I169" i="15"/>
  <c r="K169" i="15" s="1"/>
  <c r="P195" i="15"/>
  <c r="L215" i="15"/>
  <c r="O215" i="15" s="1"/>
  <c r="K261" i="15"/>
  <c r="I281" i="15"/>
  <c r="K281" i="15" s="1"/>
  <c r="P291" i="15"/>
  <c r="J344" i="15"/>
  <c r="L359" i="15"/>
  <c r="O360" i="15"/>
  <c r="L363" i="15"/>
  <c r="O363" i="15" s="1"/>
  <c r="I375" i="15"/>
  <c r="U499" i="15"/>
  <c r="T766" i="15"/>
  <c r="L121" i="12"/>
  <c r="O121" i="12" s="1"/>
  <c r="L236" i="12"/>
  <c r="Q496" i="13"/>
  <c r="Q494" i="13" s="1"/>
  <c r="O103" i="14"/>
  <c r="I282" i="14"/>
  <c r="K282" i="14" s="1"/>
  <c r="L336" i="14"/>
  <c r="L334" i="14" s="1"/>
  <c r="M27" i="15"/>
  <c r="M47" i="15"/>
  <c r="M45" i="15" s="1"/>
  <c r="O65" i="15"/>
  <c r="N66" i="15"/>
  <c r="O68" i="15"/>
  <c r="U78" i="15"/>
  <c r="M97" i="15"/>
  <c r="P97" i="15" s="1"/>
  <c r="L101" i="15"/>
  <c r="O101" i="15" s="1"/>
  <c r="Q120" i="15"/>
  <c r="T120" i="15" s="1"/>
  <c r="S121" i="15"/>
  <c r="U121" i="15" s="1"/>
  <c r="I139" i="15"/>
  <c r="K139" i="15" s="1"/>
  <c r="L146" i="15"/>
  <c r="O146" i="15" s="1"/>
  <c r="Q160" i="15"/>
  <c r="T160" i="15" s="1"/>
  <c r="Q161" i="15"/>
  <c r="T161" i="15" s="1"/>
  <c r="Q177" i="15"/>
  <c r="T177" i="15" s="1"/>
  <c r="O177" i="15"/>
  <c r="U179" i="15"/>
  <c r="Q269" i="15"/>
  <c r="L286" i="15"/>
  <c r="O286" i="15" s="1"/>
  <c r="Q306" i="15"/>
  <c r="Q304" i="15" s="1"/>
  <c r="R307" i="15"/>
  <c r="U307" i="15" s="1"/>
  <c r="P307" i="15"/>
  <c r="L310" i="15"/>
  <c r="O310" i="15" s="1"/>
  <c r="L324" i="15"/>
  <c r="O324" i="15" s="1"/>
  <c r="M359" i="15"/>
  <c r="P360" i="15"/>
  <c r="M363" i="15"/>
  <c r="P363" i="15" s="1"/>
  <c r="R417" i="15"/>
  <c r="U417" i="15" s="1"/>
  <c r="J493" i="15"/>
  <c r="K633" i="15"/>
  <c r="J675" i="15"/>
  <c r="R693" i="15"/>
  <c r="S732" i="15"/>
  <c r="T732" i="15" s="1"/>
  <c r="U766" i="15"/>
  <c r="R98" i="12"/>
  <c r="U98" i="12" s="1"/>
  <c r="M97" i="12"/>
  <c r="P97" i="12" s="1"/>
  <c r="N142" i="14"/>
  <c r="N140" i="14" s="1"/>
  <c r="Q176" i="14"/>
  <c r="T176" i="14" s="1"/>
  <c r="L323" i="14"/>
  <c r="O323" i="14" s="1"/>
  <c r="L62" i="15"/>
  <c r="O62" i="15" s="1"/>
  <c r="P68" i="15"/>
  <c r="O76" i="15"/>
  <c r="T97" i="15"/>
  <c r="M101" i="15"/>
  <c r="P101" i="15" s="1"/>
  <c r="M146" i="15"/>
  <c r="P146" i="15" s="1"/>
  <c r="R160" i="15"/>
  <c r="U160" i="15" s="1"/>
  <c r="T192" i="15"/>
  <c r="K199" i="15"/>
  <c r="M285" i="15"/>
  <c r="M283" i="15" s="1"/>
  <c r="M323" i="15"/>
  <c r="M321" i="15" s="1"/>
  <c r="M324" i="15"/>
  <c r="P324" i="15" s="1"/>
  <c r="O342" i="15"/>
  <c r="R497" i="15"/>
  <c r="R619" i="15"/>
  <c r="T622" i="15"/>
  <c r="S693" i="15"/>
  <c r="S691" i="15" s="1"/>
  <c r="M176" i="12"/>
  <c r="M174" i="12" s="1"/>
  <c r="N189" i="12"/>
  <c r="N187" i="12" s="1"/>
  <c r="N47" i="14"/>
  <c r="N45" i="14" s="1"/>
  <c r="L97" i="14"/>
  <c r="L95" i="14" s="1"/>
  <c r="O95" i="14" s="1"/>
  <c r="U121" i="14"/>
  <c r="N359" i="14"/>
  <c r="N357" i="14" s="1"/>
  <c r="N47" i="15"/>
  <c r="N45" i="15" s="1"/>
  <c r="Q73" i="15"/>
  <c r="O78" i="15"/>
  <c r="N75" i="15"/>
  <c r="N73" i="15" s="1"/>
  <c r="M121" i="15"/>
  <c r="P121" i="15" s="1"/>
  <c r="O123" i="15"/>
  <c r="S142" i="15"/>
  <c r="S140" i="15" s="1"/>
  <c r="N176" i="15"/>
  <c r="N174" i="15" s="1"/>
  <c r="I303" i="15"/>
  <c r="K303" i="15" s="1"/>
  <c r="L306" i="15"/>
  <c r="S306" i="15"/>
  <c r="S304" i="15" s="1"/>
  <c r="U304" i="15" s="1"/>
  <c r="O362" i="15"/>
  <c r="K366" i="15"/>
  <c r="R620" i="15"/>
  <c r="U620" i="15" s="1"/>
  <c r="O50" i="14"/>
  <c r="R73" i="14"/>
  <c r="U73" i="14" s="1"/>
  <c r="R76" i="14"/>
  <c r="U76" i="14" s="1"/>
  <c r="I83" i="14"/>
  <c r="K83" i="14" s="1"/>
  <c r="M97" i="14"/>
  <c r="P97" i="14" s="1"/>
  <c r="S143" i="14"/>
  <c r="U145" i="14"/>
  <c r="I222" i="14"/>
  <c r="K222" i="14" s="1"/>
  <c r="K331" i="14"/>
  <c r="K781" i="14"/>
  <c r="S286" i="1"/>
  <c r="L79" i="13"/>
  <c r="O79" i="13" s="1"/>
  <c r="I375" i="14"/>
  <c r="S269" i="1"/>
  <c r="P48" i="12"/>
  <c r="J675" i="14"/>
  <c r="S120" i="14"/>
  <c r="S118" i="14" s="1"/>
  <c r="U123" i="14"/>
  <c r="L236" i="14"/>
  <c r="L269" i="14"/>
  <c r="L267" i="14" s="1"/>
  <c r="O267" i="14" s="1"/>
  <c r="N269" i="14"/>
  <c r="N267" i="14" s="1"/>
  <c r="K370" i="14"/>
  <c r="K372" i="12"/>
  <c r="K170" i="14"/>
  <c r="L193" i="14"/>
  <c r="O193" i="14" s="1"/>
  <c r="L237" i="14"/>
  <c r="S269" i="14"/>
  <c r="S267" i="14" s="1"/>
  <c r="P342" i="14"/>
  <c r="S142" i="12"/>
  <c r="S140" i="12" s="1"/>
  <c r="L97" i="13"/>
  <c r="O97" i="13" s="1"/>
  <c r="K786" i="14"/>
  <c r="L48" i="15"/>
  <c r="O48" i="15" s="1"/>
  <c r="L63" i="15"/>
  <c r="R76" i="15"/>
  <c r="U76" i="15" s="1"/>
  <c r="N79" i="15"/>
  <c r="Q95" i="15"/>
  <c r="T95" i="15" s="1"/>
  <c r="M120" i="15"/>
  <c r="Q142" i="15"/>
  <c r="T142" i="15" s="1"/>
  <c r="U163" i="15"/>
  <c r="L176" i="15"/>
  <c r="L174" i="15" s="1"/>
  <c r="S176" i="15"/>
  <c r="S174" i="15" s="1"/>
  <c r="O182" i="15"/>
  <c r="T284" i="15"/>
  <c r="Q283" i="15"/>
  <c r="T283" i="15" s="1"/>
  <c r="T307" i="15"/>
  <c r="S376" i="15"/>
  <c r="U123" i="15"/>
  <c r="M164" i="15"/>
  <c r="P164" i="15" s="1"/>
  <c r="K222" i="15"/>
  <c r="K250" i="15"/>
  <c r="I243" i="15"/>
  <c r="R269" i="15"/>
  <c r="L269" i="15"/>
  <c r="L24" i="15"/>
  <c r="L22" i="15" s="1"/>
  <c r="L27" i="15"/>
  <c r="O27" i="15" s="1"/>
  <c r="L75" i="15"/>
  <c r="R75" i="15"/>
  <c r="T78" i="15"/>
  <c r="N97" i="15"/>
  <c r="N95" i="15" s="1"/>
  <c r="I157" i="15"/>
  <c r="K157" i="15" s="1"/>
  <c r="I170" i="15"/>
  <c r="K170" i="15" s="1"/>
  <c r="L189" i="15"/>
  <c r="L204" i="15"/>
  <c r="O204" i="15" s="1"/>
  <c r="L255" i="15"/>
  <c r="O255" i="15" s="1"/>
  <c r="M24" i="15"/>
  <c r="S24" i="15"/>
  <c r="P74" i="15"/>
  <c r="M75" i="15"/>
  <c r="S75" i="15"/>
  <c r="T75" i="15" s="1"/>
  <c r="P81" i="15"/>
  <c r="I84" i="15"/>
  <c r="I117" i="15"/>
  <c r="K117" i="15" s="1"/>
  <c r="R120" i="15"/>
  <c r="U120" i="15" s="1"/>
  <c r="I138" i="15"/>
  <c r="K138" i="15" s="1"/>
  <c r="L160" i="15"/>
  <c r="S160" i="15"/>
  <c r="S158" i="15" s="1"/>
  <c r="O166" i="15"/>
  <c r="Q176" i="15"/>
  <c r="O179" i="15"/>
  <c r="P188" i="15"/>
  <c r="L270" i="15"/>
  <c r="O270" i="15" s="1"/>
  <c r="P78" i="15"/>
  <c r="O126" i="15"/>
  <c r="Q357" i="15"/>
  <c r="T357" i="15" s="1"/>
  <c r="M376" i="15"/>
  <c r="P376" i="15" s="1"/>
  <c r="K387" i="15"/>
  <c r="U415" i="15"/>
  <c r="N285" i="15"/>
  <c r="N283" i="15" s="1"/>
  <c r="T309" i="15"/>
  <c r="L323" i="15"/>
  <c r="O329" i="15"/>
  <c r="I333" i="15"/>
  <c r="M336" i="15"/>
  <c r="P342" i="15"/>
  <c r="R357" i="15"/>
  <c r="U357" i="15" s="1"/>
  <c r="P362" i="15"/>
  <c r="R378" i="15"/>
  <c r="U378" i="15" s="1"/>
  <c r="U381" i="15"/>
  <c r="T394" i="15"/>
  <c r="O415" i="15"/>
  <c r="L494" i="15"/>
  <c r="O494" i="15" s="1"/>
  <c r="M535" i="15"/>
  <c r="P535" i="15" s="1"/>
  <c r="N535" i="15"/>
  <c r="U536" i="15"/>
  <c r="L556" i="15"/>
  <c r="O556" i="15" s="1"/>
  <c r="O601" i="15"/>
  <c r="O618" i="15"/>
  <c r="M691" i="15"/>
  <c r="P691" i="15" s="1"/>
  <c r="P693" i="15"/>
  <c r="L761" i="15"/>
  <c r="O761" i="15" s="1"/>
  <c r="O763" i="15"/>
  <c r="U309" i="15"/>
  <c r="J333" i="15"/>
  <c r="T419" i="15"/>
  <c r="T499" i="15"/>
  <c r="S497" i="15"/>
  <c r="T497" i="15" s="1"/>
  <c r="S496" i="15"/>
  <c r="S494" i="15" s="1"/>
  <c r="M520" i="15"/>
  <c r="P520" i="15" s="1"/>
  <c r="O536" i="15"/>
  <c r="M577" i="15"/>
  <c r="P577" i="15" s="1"/>
  <c r="N577" i="15"/>
  <c r="U578" i="15"/>
  <c r="T692" i="15"/>
  <c r="P288" i="15"/>
  <c r="P309" i="15"/>
  <c r="P312" i="15"/>
  <c r="N323" i="15"/>
  <c r="N321" i="15" s="1"/>
  <c r="T323" i="15"/>
  <c r="U336" i="15"/>
  <c r="O339" i="15"/>
  <c r="L393" i="15"/>
  <c r="O393" i="15" s="1"/>
  <c r="T415" i="15"/>
  <c r="O578" i="15"/>
  <c r="T602" i="15"/>
  <c r="Q619" i="15"/>
  <c r="I702" i="15"/>
  <c r="Q715" i="15"/>
  <c r="T715" i="15" s="1"/>
  <c r="T717" i="15"/>
  <c r="L285" i="15"/>
  <c r="M516" i="15"/>
  <c r="P516" i="15" s="1"/>
  <c r="Q556" i="15"/>
  <c r="T556" i="15" s="1"/>
  <c r="K627" i="15"/>
  <c r="K631" i="15"/>
  <c r="R731" i="15"/>
  <c r="U731" i="15" s="1"/>
  <c r="U734" i="15"/>
  <c r="S763" i="15"/>
  <c r="L516" i="15"/>
  <c r="O516" i="15" s="1"/>
  <c r="S694" i="15"/>
  <c r="T696" i="15"/>
  <c r="I759" i="15"/>
  <c r="K759" i="15" s="1"/>
  <c r="S764" i="15"/>
  <c r="T764" i="15" s="1"/>
  <c r="K277" i="13"/>
  <c r="I266" i="13"/>
  <c r="K266" i="13" s="1"/>
  <c r="O145" i="14"/>
  <c r="L143" i="14"/>
  <c r="O143" i="14" s="1"/>
  <c r="R764" i="14"/>
  <c r="U764" i="14" s="1"/>
  <c r="R763" i="14"/>
  <c r="U763" i="14" s="1"/>
  <c r="U766" i="14"/>
  <c r="O65" i="14"/>
  <c r="L63" i="14"/>
  <c r="O63" i="14" s="1"/>
  <c r="P123" i="14"/>
  <c r="M120" i="14"/>
  <c r="M124" i="14"/>
  <c r="P124" i="14" s="1"/>
  <c r="N146" i="14"/>
  <c r="Q307" i="14"/>
  <c r="Q306" i="14"/>
  <c r="T306" i="14" s="1"/>
  <c r="L285" i="12"/>
  <c r="O285" i="12" s="1"/>
  <c r="S177" i="13"/>
  <c r="S176" i="13"/>
  <c r="S174" i="13" s="1"/>
  <c r="M63" i="14"/>
  <c r="P63" i="14" s="1"/>
  <c r="P65" i="14"/>
  <c r="L98" i="14"/>
  <c r="O98" i="14" s="1"/>
  <c r="P190" i="14"/>
  <c r="I303" i="14"/>
  <c r="K303" i="14" s="1"/>
  <c r="U648" i="14"/>
  <c r="L359" i="10"/>
  <c r="L357" i="10" s="1"/>
  <c r="I266" i="12"/>
  <c r="K266" i="12" s="1"/>
  <c r="L142" i="14"/>
  <c r="O142" i="14" s="1"/>
  <c r="R98" i="14"/>
  <c r="L177" i="14"/>
  <c r="O177" i="14" s="1"/>
  <c r="O179" i="14"/>
  <c r="M180" i="14"/>
  <c r="P180" i="14" s="1"/>
  <c r="R496" i="14"/>
  <c r="U496" i="14" s="1"/>
  <c r="R497" i="14"/>
  <c r="U497" i="14" s="1"/>
  <c r="U499" i="14"/>
  <c r="R732" i="14"/>
  <c r="U732" i="14" s="1"/>
  <c r="U734" i="14"/>
  <c r="L269" i="13"/>
  <c r="O269" i="13" s="1"/>
  <c r="L273" i="13"/>
  <c r="O273" i="13" s="1"/>
  <c r="M79" i="14"/>
  <c r="P79" i="14" s="1"/>
  <c r="P81" i="14"/>
  <c r="P291" i="14"/>
  <c r="M289" i="14"/>
  <c r="P289" i="14" s="1"/>
  <c r="S378" i="14"/>
  <c r="S376" i="14" s="1"/>
  <c r="S379" i="14"/>
  <c r="T379" i="14" s="1"/>
  <c r="S497" i="14"/>
  <c r="S496" i="14"/>
  <c r="S494" i="14" s="1"/>
  <c r="K773" i="14"/>
  <c r="I759" i="14"/>
  <c r="K759" i="14" s="1"/>
  <c r="M142" i="13"/>
  <c r="M140" i="13" s="1"/>
  <c r="U497" i="13"/>
  <c r="L516" i="13"/>
  <c r="O516" i="13" s="1"/>
  <c r="J675" i="13"/>
  <c r="R142" i="14"/>
  <c r="R140" i="14" s="1"/>
  <c r="U140" i="14" s="1"/>
  <c r="I266" i="14"/>
  <c r="K266" i="14" s="1"/>
  <c r="J676" i="14"/>
  <c r="J703" i="14"/>
  <c r="M47" i="14"/>
  <c r="M45" i="14" s="1"/>
  <c r="T121" i="14"/>
  <c r="U696" i="14"/>
  <c r="K706" i="14"/>
  <c r="S160" i="7"/>
  <c r="S158" i="7" s="1"/>
  <c r="N189" i="11"/>
  <c r="N187" i="11" s="1"/>
  <c r="K138" i="12"/>
  <c r="I173" i="12"/>
  <c r="K173" i="12" s="1"/>
  <c r="P179" i="13"/>
  <c r="N176" i="13"/>
  <c r="N174" i="13" s="1"/>
  <c r="S189" i="13"/>
  <c r="S187" i="13" s="1"/>
  <c r="L193" i="13"/>
  <c r="O193" i="13" s="1"/>
  <c r="I222" i="13"/>
  <c r="K222" i="13" s="1"/>
  <c r="L223" i="13"/>
  <c r="O223" i="13" s="1"/>
  <c r="N27" i="14"/>
  <c r="N25" i="14" s="1"/>
  <c r="K87" i="14"/>
  <c r="P177" i="14"/>
  <c r="O182" i="14"/>
  <c r="U192" i="14"/>
  <c r="K199" i="14"/>
  <c r="L204" i="14"/>
  <c r="O204" i="14" s="1"/>
  <c r="J375" i="14"/>
  <c r="J504" i="14"/>
  <c r="J493" i="14" s="1"/>
  <c r="M517" i="14"/>
  <c r="P517" i="14" s="1"/>
  <c r="T734" i="14"/>
  <c r="Q731" i="14"/>
  <c r="Q729" i="14" s="1"/>
  <c r="N189" i="9"/>
  <c r="N187" i="9" s="1"/>
  <c r="S75" i="13"/>
  <c r="S73" i="13" s="1"/>
  <c r="R269" i="13"/>
  <c r="R267" i="13" s="1"/>
  <c r="Q24" i="14"/>
  <c r="Q21" i="14" s="1"/>
  <c r="Q19" i="14" s="1"/>
  <c r="Q97" i="14"/>
  <c r="Q95" i="14" s="1"/>
  <c r="N160" i="14"/>
  <c r="N158" i="14" s="1"/>
  <c r="Q190" i="14"/>
  <c r="T190" i="14" s="1"/>
  <c r="L215" i="14"/>
  <c r="O215" i="14" s="1"/>
  <c r="L234" i="14"/>
  <c r="O329" i="14"/>
  <c r="P339" i="14"/>
  <c r="K372" i="14"/>
  <c r="K387" i="14"/>
  <c r="I424" i="14"/>
  <c r="I413" i="14" s="1"/>
  <c r="K413" i="14" s="1"/>
  <c r="I493" i="14"/>
  <c r="K493" i="14" s="1"/>
  <c r="M273" i="13"/>
  <c r="P273" i="13" s="1"/>
  <c r="R24" i="14"/>
  <c r="U163" i="14"/>
  <c r="U190" i="14"/>
  <c r="K196" i="14"/>
  <c r="L289" i="14"/>
  <c r="O289" i="14" s="1"/>
  <c r="T732" i="14"/>
  <c r="S764" i="14"/>
  <c r="S763" i="14"/>
  <c r="S761" i="14" s="1"/>
  <c r="O177" i="11"/>
  <c r="K347" i="11"/>
  <c r="I83" i="13"/>
  <c r="K83" i="13" s="1"/>
  <c r="R142" i="13"/>
  <c r="U142" i="13" s="1"/>
  <c r="S24" i="14"/>
  <c r="S22" i="14" s="1"/>
  <c r="L48" i="14"/>
  <c r="O48" i="14" s="1"/>
  <c r="N62" i="14"/>
  <c r="N60" i="14" s="1"/>
  <c r="L75" i="14"/>
  <c r="L73" i="14" s="1"/>
  <c r="O73" i="14" s="1"/>
  <c r="U97" i="14"/>
  <c r="N24" i="14"/>
  <c r="N22" i="14" s="1"/>
  <c r="M101" i="14"/>
  <c r="P101" i="14" s="1"/>
  <c r="K110" i="14"/>
  <c r="L146" i="14"/>
  <c r="O146" i="14" s="1"/>
  <c r="M164" i="14"/>
  <c r="P164" i="14" s="1"/>
  <c r="M189" i="14"/>
  <c r="M187" i="14" s="1"/>
  <c r="M193" i="14"/>
  <c r="P193" i="14" s="1"/>
  <c r="K294" i="14"/>
  <c r="M324" i="14"/>
  <c r="P324" i="14" s="1"/>
  <c r="U381" i="14"/>
  <c r="O522" i="14"/>
  <c r="S619" i="14"/>
  <c r="S617" i="14" s="1"/>
  <c r="K630" i="14"/>
  <c r="R645" i="14"/>
  <c r="U645" i="14" s="1"/>
  <c r="S693" i="14"/>
  <c r="S691" i="14" s="1"/>
  <c r="P522" i="13"/>
  <c r="M48" i="14"/>
  <c r="P48" i="14" s="1"/>
  <c r="P53" i="14"/>
  <c r="P68" i="14"/>
  <c r="N75" i="14"/>
  <c r="N73" i="14" s="1"/>
  <c r="I84" i="14"/>
  <c r="I139" i="14"/>
  <c r="K139" i="14" s="1"/>
  <c r="L176" i="14"/>
  <c r="L174" i="14" s="1"/>
  <c r="L223" i="14"/>
  <c r="O223" i="14" s="1"/>
  <c r="M336" i="14"/>
  <c r="M334" i="14" s="1"/>
  <c r="T620" i="14"/>
  <c r="K631" i="14"/>
  <c r="S645" i="14"/>
  <c r="S643" i="14" s="1"/>
  <c r="J702" i="14"/>
  <c r="K727" i="14"/>
  <c r="K780" i="14"/>
  <c r="S731" i="14"/>
  <c r="S729" i="14" s="1"/>
  <c r="M76" i="14"/>
  <c r="P76" i="14" s="1"/>
  <c r="P78" i="14"/>
  <c r="T644" i="14"/>
  <c r="I117" i="8"/>
  <c r="K117" i="8" s="1"/>
  <c r="K128" i="8"/>
  <c r="K199" i="11"/>
  <c r="I196" i="11"/>
  <c r="K196" i="11" s="1"/>
  <c r="I243" i="12"/>
  <c r="K243" i="12" s="1"/>
  <c r="I239" i="12"/>
  <c r="K239" i="12" s="1"/>
  <c r="M270" i="13"/>
  <c r="M269" i="13"/>
  <c r="M267" i="13" s="1"/>
  <c r="R45" i="14"/>
  <c r="U45" i="14" s="1"/>
  <c r="U46" i="14"/>
  <c r="Q378" i="2"/>
  <c r="Q376" i="2" s="1"/>
  <c r="K331" i="7"/>
  <c r="I320" i="7"/>
  <c r="K320" i="7" s="1"/>
  <c r="I94" i="8"/>
  <c r="K94" i="8" s="1"/>
  <c r="K110" i="8"/>
  <c r="S764" i="13"/>
  <c r="S763" i="13"/>
  <c r="S761" i="13" s="1"/>
  <c r="M24" i="14"/>
  <c r="U26" i="14"/>
  <c r="R25" i="14"/>
  <c r="U25" i="14" s="1"/>
  <c r="R20" i="14"/>
  <c r="U358" i="14"/>
  <c r="R357" i="14"/>
  <c r="U357" i="14" s="1"/>
  <c r="M307" i="13"/>
  <c r="P307" i="13" s="1"/>
  <c r="P309" i="13"/>
  <c r="T20" i="14"/>
  <c r="S98" i="14"/>
  <c r="T98" i="14" s="1"/>
  <c r="U100" i="14"/>
  <c r="P175" i="14"/>
  <c r="P179" i="14"/>
  <c r="M176" i="14"/>
  <c r="M174" i="14" s="1"/>
  <c r="O192" i="14"/>
  <c r="L189" i="14"/>
  <c r="L24" i="14"/>
  <c r="L190" i="14"/>
  <c r="O190" i="14" s="1"/>
  <c r="I333" i="14"/>
  <c r="K345" i="14"/>
  <c r="K630" i="12"/>
  <c r="K627" i="12"/>
  <c r="I616" i="12"/>
  <c r="K616" i="12" s="1"/>
  <c r="T23" i="14"/>
  <c r="M75" i="14"/>
  <c r="P75" i="14" s="1"/>
  <c r="S95" i="14"/>
  <c r="U95" i="14" s="1"/>
  <c r="I117" i="14"/>
  <c r="K117" i="14" s="1"/>
  <c r="K128" i="14"/>
  <c r="S304" i="14"/>
  <c r="K128" i="10"/>
  <c r="I117" i="10"/>
  <c r="K117" i="10" s="1"/>
  <c r="T419" i="12"/>
  <c r="Q416" i="12"/>
  <c r="T416" i="12" s="1"/>
  <c r="O78" i="13"/>
  <c r="L75" i="13"/>
  <c r="O75" i="13" s="1"/>
  <c r="L76" i="13"/>
  <c r="O76" i="13" s="1"/>
  <c r="T159" i="14"/>
  <c r="K210" i="14"/>
  <c r="I203" i="14"/>
  <c r="K203" i="14" s="1"/>
  <c r="M327" i="14"/>
  <c r="P327" i="14" s="1"/>
  <c r="P329" i="14"/>
  <c r="M323" i="14"/>
  <c r="M27" i="14"/>
  <c r="P27" i="14" s="1"/>
  <c r="S98" i="13"/>
  <c r="T98" i="13" s="1"/>
  <c r="O143" i="13"/>
  <c r="U145" i="13"/>
  <c r="K708" i="13"/>
  <c r="M62" i="14"/>
  <c r="U78" i="14"/>
  <c r="T100" i="14"/>
  <c r="U119" i="14"/>
  <c r="N121" i="14"/>
  <c r="N120" i="14"/>
  <c r="N118" i="14" s="1"/>
  <c r="L124" i="14"/>
  <c r="O124" i="14" s="1"/>
  <c r="O126" i="14"/>
  <c r="I138" i="14"/>
  <c r="K138" i="14" s="1"/>
  <c r="R160" i="14"/>
  <c r="U160" i="14" s="1"/>
  <c r="N176" i="14"/>
  <c r="N174" i="14" s="1"/>
  <c r="N189" i="14"/>
  <c r="T192" i="14"/>
  <c r="K231" i="14"/>
  <c r="L255" i="14"/>
  <c r="O255" i="14" s="1"/>
  <c r="R270" i="14"/>
  <c r="U270" i="14" s="1"/>
  <c r="U272" i="14"/>
  <c r="R269" i="14"/>
  <c r="M307" i="14"/>
  <c r="P307" i="14" s="1"/>
  <c r="P309" i="14"/>
  <c r="M306" i="14"/>
  <c r="U622" i="14"/>
  <c r="R619" i="14"/>
  <c r="R617" i="14" s="1"/>
  <c r="R620" i="14"/>
  <c r="U620" i="14" s="1"/>
  <c r="J616" i="14"/>
  <c r="K627" i="14"/>
  <c r="L235" i="11"/>
  <c r="K706" i="11"/>
  <c r="L234" i="12"/>
  <c r="S306" i="12"/>
  <c r="S304" i="12" s="1"/>
  <c r="P145" i="13"/>
  <c r="S379" i="13"/>
  <c r="I424" i="13"/>
  <c r="K424" i="13" s="1"/>
  <c r="Q25" i="14"/>
  <c r="T25" i="14" s="1"/>
  <c r="T46" i="14"/>
  <c r="O78" i="14"/>
  <c r="L79" i="14"/>
  <c r="O79" i="14" s="1"/>
  <c r="O81" i="14"/>
  <c r="N98" i="14"/>
  <c r="N97" i="14"/>
  <c r="N95" i="14" s="1"/>
  <c r="L120" i="14"/>
  <c r="O120" i="14" s="1"/>
  <c r="O123" i="14"/>
  <c r="P148" i="14"/>
  <c r="U188" i="14"/>
  <c r="P275" i="14"/>
  <c r="M273" i="14"/>
  <c r="P273" i="14" s="1"/>
  <c r="U323" i="14"/>
  <c r="R321" i="14"/>
  <c r="U321" i="14" s="1"/>
  <c r="O326" i="14"/>
  <c r="L324" i="14"/>
  <c r="O324" i="14" s="1"/>
  <c r="T335" i="14"/>
  <c r="Q334" i="14"/>
  <c r="T334" i="14" s="1"/>
  <c r="R97" i="12"/>
  <c r="I243" i="13"/>
  <c r="K243" i="13" s="1"/>
  <c r="L286" i="13"/>
  <c r="O286" i="13" s="1"/>
  <c r="J702" i="13"/>
  <c r="J703" i="13"/>
  <c r="Q764" i="13"/>
  <c r="T764" i="13" s="1"/>
  <c r="L27" i="14"/>
  <c r="O53" i="14"/>
  <c r="L47" i="14"/>
  <c r="N66" i="14"/>
  <c r="O68" i="14"/>
  <c r="L62" i="14"/>
  <c r="T123" i="14"/>
  <c r="Q120" i="14"/>
  <c r="Q142" i="14"/>
  <c r="Q143" i="14"/>
  <c r="T143" i="14" s="1"/>
  <c r="P159" i="14"/>
  <c r="T175" i="14"/>
  <c r="P192" i="14"/>
  <c r="K261" i="14"/>
  <c r="I254" i="14"/>
  <c r="Q267" i="14"/>
  <c r="L577" i="14"/>
  <c r="O577" i="14" s="1"/>
  <c r="O579" i="14"/>
  <c r="L236" i="10"/>
  <c r="M101" i="12"/>
  <c r="P101" i="12" s="1"/>
  <c r="K347" i="12"/>
  <c r="O53" i="13"/>
  <c r="U309" i="13"/>
  <c r="K710" i="13"/>
  <c r="S75" i="14"/>
  <c r="S73" i="14" s="1"/>
  <c r="K109" i="14"/>
  <c r="I93" i="14"/>
  <c r="K93" i="14" s="1"/>
  <c r="P163" i="14"/>
  <c r="M161" i="14"/>
  <c r="P161" i="14" s="1"/>
  <c r="M160" i="14"/>
  <c r="P160" i="14" s="1"/>
  <c r="U175" i="14"/>
  <c r="S176" i="14"/>
  <c r="S174" i="14" s="1"/>
  <c r="R177" i="14"/>
  <c r="U177" i="14" s="1"/>
  <c r="U179" i="14"/>
  <c r="R176" i="14"/>
  <c r="U176" i="14" s="1"/>
  <c r="R189" i="14"/>
  <c r="I214" i="14"/>
  <c r="K214" i="14" s="1"/>
  <c r="P272" i="14"/>
  <c r="M269" i="14"/>
  <c r="M270" i="14"/>
  <c r="P270" i="14" s="1"/>
  <c r="T284" i="14"/>
  <c r="Q283" i="14"/>
  <c r="T283" i="14" s="1"/>
  <c r="T394" i="14"/>
  <c r="Q393" i="14"/>
  <c r="T393" i="14" s="1"/>
  <c r="O48" i="12"/>
  <c r="U622" i="13"/>
  <c r="M143" i="14"/>
  <c r="P143" i="14" s="1"/>
  <c r="P145" i="14"/>
  <c r="K155" i="14"/>
  <c r="I137" i="14"/>
  <c r="K137" i="14" s="1"/>
  <c r="L244" i="14"/>
  <c r="L235" i="14"/>
  <c r="U284" i="14"/>
  <c r="R283" i="14"/>
  <c r="U283" i="14" s="1"/>
  <c r="L286" i="14"/>
  <c r="O286" i="14" s="1"/>
  <c r="O288" i="14"/>
  <c r="L285" i="14"/>
  <c r="O285" i="14" s="1"/>
  <c r="S307" i="14"/>
  <c r="T309" i="14"/>
  <c r="S417" i="14"/>
  <c r="S416" i="14"/>
  <c r="S414" i="14" s="1"/>
  <c r="I239" i="14"/>
  <c r="K239" i="14" s="1"/>
  <c r="K250" i="14"/>
  <c r="L270" i="14"/>
  <c r="O270" i="14" s="1"/>
  <c r="O272" i="14"/>
  <c r="L273" i="14"/>
  <c r="O273" i="14" s="1"/>
  <c r="O275" i="14"/>
  <c r="O284" i="14"/>
  <c r="T305" i="14"/>
  <c r="R307" i="14"/>
  <c r="U309" i="14"/>
  <c r="R306" i="14"/>
  <c r="U306" i="14" s="1"/>
  <c r="L310" i="14"/>
  <c r="O310" i="14" s="1"/>
  <c r="O312" i="14"/>
  <c r="L306" i="14"/>
  <c r="O306" i="14" s="1"/>
  <c r="U419" i="14"/>
  <c r="R416" i="14"/>
  <c r="R417" i="14"/>
  <c r="U417" i="14" s="1"/>
  <c r="M761" i="14"/>
  <c r="P761" i="14" s="1"/>
  <c r="P763" i="14"/>
  <c r="Q600" i="14"/>
  <c r="T600" i="14" s="1"/>
  <c r="T602" i="14"/>
  <c r="O305" i="14"/>
  <c r="P358" i="14"/>
  <c r="N360" i="14"/>
  <c r="P360" i="14" s="1"/>
  <c r="P362" i="14"/>
  <c r="O362" i="14"/>
  <c r="U557" i="14"/>
  <c r="R556" i="14"/>
  <c r="U556" i="14" s="1"/>
  <c r="K704" i="14"/>
  <c r="I702" i="14"/>
  <c r="R715" i="14"/>
  <c r="U715" i="14" s="1"/>
  <c r="U717" i="14"/>
  <c r="N327" i="14"/>
  <c r="N323" i="14"/>
  <c r="N321" i="14" s="1"/>
  <c r="Q270" i="14"/>
  <c r="T270" i="14" s="1"/>
  <c r="T272" i="14"/>
  <c r="U305" i="14"/>
  <c r="L307" i="14"/>
  <c r="O307" i="14" s="1"/>
  <c r="O309" i="14"/>
  <c r="R334" i="14"/>
  <c r="U334" i="14" s="1"/>
  <c r="U336" i="14"/>
  <c r="N340" i="14"/>
  <c r="N336" i="14"/>
  <c r="N334" i="14" s="1"/>
  <c r="J344" i="14"/>
  <c r="J333" i="14"/>
  <c r="U495" i="14"/>
  <c r="U692" i="14"/>
  <c r="O495" i="14"/>
  <c r="L494" i="14"/>
  <c r="O494" i="14" s="1"/>
  <c r="M286" i="14"/>
  <c r="P286" i="14" s="1"/>
  <c r="P288" i="14"/>
  <c r="M310" i="14"/>
  <c r="P310" i="14" s="1"/>
  <c r="P312" i="14"/>
  <c r="M337" i="14"/>
  <c r="P337" i="14" s="1"/>
  <c r="L337" i="14"/>
  <c r="O337" i="14" s="1"/>
  <c r="O339" i="14"/>
  <c r="L363" i="14"/>
  <c r="O363" i="14" s="1"/>
  <c r="O365" i="14"/>
  <c r="L359" i="14"/>
  <c r="T381" i="14"/>
  <c r="P415" i="14"/>
  <c r="M414" i="14"/>
  <c r="P414" i="14" s="1"/>
  <c r="R535" i="14"/>
  <c r="U535" i="14" s="1"/>
  <c r="U537" i="14"/>
  <c r="U618" i="14"/>
  <c r="Q321" i="14"/>
  <c r="T321" i="14" s="1"/>
  <c r="T323" i="14"/>
  <c r="M393" i="14"/>
  <c r="P393" i="14" s="1"/>
  <c r="P395" i="14"/>
  <c r="L729" i="14"/>
  <c r="O729" i="14" s="1"/>
  <c r="O731" i="14"/>
  <c r="Q514" i="14"/>
  <c r="T514" i="14" s="1"/>
  <c r="T516" i="14"/>
  <c r="R600" i="14"/>
  <c r="U600" i="14" s="1"/>
  <c r="U602" i="14"/>
  <c r="U644" i="14"/>
  <c r="O692" i="14"/>
  <c r="L691" i="14"/>
  <c r="O691" i="14" s="1"/>
  <c r="T762" i="14"/>
  <c r="J366" i="14"/>
  <c r="K366" i="14" s="1"/>
  <c r="I457" i="14"/>
  <c r="K457" i="14" s="1"/>
  <c r="K458" i="14"/>
  <c r="M494" i="14"/>
  <c r="P494" i="14" s="1"/>
  <c r="P496" i="14"/>
  <c r="M520" i="14"/>
  <c r="P520" i="14" s="1"/>
  <c r="P522" i="14"/>
  <c r="M516" i="14"/>
  <c r="L535" i="14"/>
  <c r="O535" i="14" s="1"/>
  <c r="O537" i="14"/>
  <c r="P557" i="14"/>
  <c r="M556" i="14"/>
  <c r="P556" i="14" s="1"/>
  <c r="L600" i="14"/>
  <c r="O600" i="14" s="1"/>
  <c r="O602" i="14"/>
  <c r="O618" i="14"/>
  <c r="L617" i="14"/>
  <c r="O617" i="14" s="1"/>
  <c r="O644" i="14"/>
  <c r="L643" i="14"/>
  <c r="O643" i="14" s="1"/>
  <c r="T696" i="14"/>
  <c r="Q693" i="14"/>
  <c r="Q694" i="14"/>
  <c r="T694" i="14" s="1"/>
  <c r="L715" i="14"/>
  <c r="O715" i="14" s="1"/>
  <c r="O717" i="14"/>
  <c r="L393" i="14"/>
  <c r="O393" i="14" s="1"/>
  <c r="R393" i="14"/>
  <c r="U393" i="14" s="1"/>
  <c r="N520" i="14"/>
  <c r="N516" i="14"/>
  <c r="N514" i="14" s="1"/>
  <c r="L556" i="14"/>
  <c r="O556" i="14" s="1"/>
  <c r="Q577" i="14"/>
  <c r="T577" i="14" s="1"/>
  <c r="T579" i="14"/>
  <c r="P618" i="14"/>
  <c r="M617" i="14"/>
  <c r="P617" i="14" s="1"/>
  <c r="M359" i="14"/>
  <c r="T419" i="14"/>
  <c r="Q416" i="14"/>
  <c r="T495" i="14"/>
  <c r="T499" i="14"/>
  <c r="Q496" i="14"/>
  <c r="T496" i="14" s="1"/>
  <c r="Q497" i="14"/>
  <c r="T497" i="14" s="1"/>
  <c r="L517" i="14"/>
  <c r="O517" i="14" s="1"/>
  <c r="T536" i="14"/>
  <c r="Q535" i="14"/>
  <c r="T535" i="14" s="1"/>
  <c r="R577" i="14"/>
  <c r="U577" i="14" s="1"/>
  <c r="U579" i="14"/>
  <c r="T622" i="14"/>
  <c r="Q619" i="14"/>
  <c r="T648" i="14"/>
  <c r="Q645" i="14"/>
  <c r="T645" i="14" s="1"/>
  <c r="Q646" i="14"/>
  <c r="T646" i="14" s="1"/>
  <c r="T692" i="14"/>
  <c r="R729" i="14"/>
  <c r="K632" i="14"/>
  <c r="R694" i="14"/>
  <c r="U694" i="14" s="1"/>
  <c r="Q764" i="14"/>
  <c r="T764" i="14" s="1"/>
  <c r="M691" i="14"/>
  <c r="P691" i="14" s="1"/>
  <c r="Q715" i="14"/>
  <c r="T715" i="14" s="1"/>
  <c r="L761" i="14"/>
  <c r="O761" i="14" s="1"/>
  <c r="R693" i="14"/>
  <c r="Q763" i="14"/>
  <c r="T763" i="14" s="1"/>
  <c r="L60" i="13"/>
  <c r="O192" i="13"/>
  <c r="L189" i="13"/>
  <c r="L187" i="13" s="1"/>
  <c r="M310" i="13"/>
  <c r="P310" i="13" s="1"/>
  <c r="P312" i="13"/>
  <c r="M306" i="13"/>
  <c r="P306" i="13" s="1"/>
  <c r="M176" i="10"/>
  <c r="M174" i="10" s="1"/>
  <c r="K210" i="12"/>
  <c r="I254" i="12"/>
  <c r="K254" i="12" s="1"/>
  <c r="N285" i="12"/>
  <c r="N283" i="12" s="1"/>
  <c r="S643" i="12"/>
  <c r="K706" i="12"/>
  <c r="Q24" i="13"/>
  <c r="Q21" i="13" s="1"/>
  <c r="L47" i="13"/>
  <c r="L45" i="13" s="1"/>
  <c r="R75" i="13"/>
  <c r="U75" i="13" s="1"/>
  <c r="L142" i="13"/>
  <c r="L140" i="13" s="1"/>
  <c r="S143" i="13"/>
  <c r="M161" i="13"/>
  <c r="P161" i="13" s="1"/>
  <c r="L24" i="13"/>
  <c r="L160" i="13"/>
  <c r="O160" i="13" s="1"/>
  <c r="N160" i="13"/>
  <c r="N158" i="13" s="1"/>
  <c r="I203" i="13"/>
  <c r="K203" i="13" s="1"/>
  <c r="I239" i="13"/>
  <c r="K239" i="13" s="1"/>
  <c r="L244" i="13"/>
  <c r="O244" i="13" s="1"/>
  <c r="I254" i="13"/>
  <c r="S306" i="13"/>
  <c r="S304" i="13" s="1"/>
  <c r="N359" i="13"/>
  <c r="N357" i="13" s="1"/>
  <c r="K631" i="13"/>
  <c r="K781" i="13"/>
  <c r="J375" i="7"/>
  <c r="R75" i="12"/>
  <c r="U75" i="12" s="1"/>
  <c r="Q417" i="12"/>
  <c r="T417" i="12" s="1"/>
  <c r="R24" i="13"/>
  <c r="R22" i="13" s="1"/>
  <c r="L63" i="13"/>
  <c r="O63" i="13" s="1"/>
  <c r="I173" i="13"/>
  <c r="K173" i="13" s="1"/>
  <c r="N270" i="13"/>
  <c r="N269" i="13"/>
  <c r="M286" i="13"/>
  <c r="P286" i="13" s="1"/>
  <c r="P288" i="13"/>
  <c r="U499" i="13"/>
  <c r="R496" i="13"/>
  <c r="R494" i="13" s="1"/>
  <c r="M27" i="12"/>
  <c r="P27" i="12" s="1"/>
  <c r="S24" i="13"/>
  <c r="S21" i="13" s="1"/>
  <c r="S19" i="13" s="1"/>
  <c r="N62" i="13"/>
  <c r="O62" i="13" s="1"/>
  <c r="P148" i="13"/>
  <c r="M146" i="13"/>
  <c r="P146" i="13" s="1"/>
  <c r="M189" i="13"/>
  <c r="M187" i="13" s="1"/>
  <c r="P195" i="13"/>
  <c r="M193" i="13"/>
  <c r="P193" i="13" s="1"/>
  <c r="L237" i="13"/>
  <c r="O309" i="13"/>
  <c r="L306" i="13"/>
  <c r="M327" i="13"/>
  <c r="P327" i="13" s="1"/>
  <c r="P329" i="13"/>
  <c r="R536" i="1"/>
  <c r="U536" i="1" s="1"/>
  <c r="S378" i="7"/>
  <c r="S376" i="7" s="1"/>
  <c r="T379" i="7"/>
  <c r="N160" i="12"/>
  <c r="N158" i="12" s="1"/>
  <c r="R177" i="12"/>
  <c r="U177" i="12" s="1"/>
  <c r="L189" i="12"/>
  <c r="L187" i="12" s="1"/>
  <c r="I214" i="12"/>
  <c r="K214" i="12" s="1"/>
  <c r="M62" i="13"/>
  <c r="M60" i="13" s="1"/>
  <c r="R97" i="13"/>
  <c r="U97" i="13" s="1"/>
  <c r="K153" i="13"/>
  <c r="I138" i="13"/>
  <c r="K138" i="13" s="1"/>
  <c r="Q189" i="13"/>
  <c r="Q187" i="13" s="1"/>
  <c r="U192" i="13"/>
  <c r="R190" i="13"/>
  <c r="U190" i="13" s="1"/>
  <c r="T307" i="13"/>
  <c r="K315" i="13"/>
  <c r="I303" i="13"/>
  <c r="K303" i="13" s="1"/>
  <c r="R646" i="13"/>
  <c r="U646" i="13" s="1"/>
  <c r="K780" i="11"/>
  <c r="K783" i="11"/>
  <c r="Q143" i="12"/>
  <c r="T143" i="12" s="1"/>
  <c r="S177" i="12"/>
  <c r="N306" i="12"/>
  <c r="N304" i="12" s="1"/>
  <c r="P68" i="13"/>
  <c r="M101" i="13"/>
  <c r="P101" i="13" s="1"/>
  <c r="Q143" i="13"/>
  <c r="T143" i="13" s="1"/>
  <c r="O148" i="13"/>
  <c r="R189" i="13"/>
  <c r="L270" i="13"/>
  <c r="O270" i="13" s="1"/>
  <c r="I281" i="13"/>
  <c r="K281" i="13" s="1"/>
  <c r="O312" i="13"/>
  <c r="L310" i="13"/>
  <c r="O310" i="13" s="1"/>
  <c r="K372" i="13"/>
  <c r="I366" i="13"/>
  <c r="K366" i="13" s="1"/>
  <c r="L520" i="13"/>
  <c r="O520" i="13" s="1"/>
  <c r="O522" i="13"/>
  <c r="S140" i="13"/>
  <c r="J333" i="13"/>
  <c r="M359" i="13"/>
  <c r="M357" i="13" s="1"/>
  <c r="K370" i="13"/>
  <c r="J375" i="13"/>
  <c r="L255" i="13"/>
  <c r="O255" i="13" s="1"/>
  <c r="K347" i="13"/>
  <c r="J352" i="13"/>
  <c r="I702" i="13"/>
  <c r="T269" i="13"/>
  <c r="Q267" i="13"/>
  <c r="T190" i="13"/>
  <c r="U120" i="13"/>
  <c r="U416" i="13"/>
  <c r="R414" i="13"/>
  <c r="U414" i="13" s="1"/>
  <c r="O68" i="11"/>
  <c r="L76" i="11"/>
  <c r="O76" i="11" s="1"/>
  <c r="L120" i="11"/>
  <c r="O120" i="11" s="1"/>
  <c r="N160" i="11"/>
  <c r="N158" i="11" s="1"/>
  <c r="R269" i="11"/>
  <c r="R267" i="11" s="1"/>
  <c r="N285" i="11"/>
  <c r="N283" i="11" s="1"/>
  <c r="R694" i="11"/>
  <c r="U694" i="11" s="1"/>
  <c r="K727" i="11"/>
  <c r="M51" i="12"/>
  <c r="P51" i="12" s="1"/>
  <c r="L97" i="12"/>
  <c r="L95" i="12" s="1"/>
  <c r="O95" i="12" s="1"/>
  <c r="L120" i="12"/>
  <c r="O120" i="12" s="1"/>
  <c r="R161" i="12"/>
  <c r="U161" i="12" s="1"/>
  <c r="M164" i="12"/>
  <c r="P164" i="12" s="1"/>
  <c r="I366" i="12"/>
  <c r="K366" i="12" s="1"/>
  <c r="R416" i="12"/>
  <c r="U416" i="12" s="1"/>
  <c r="J703" i="12"/>
  <c r="L27" i="13"/>
  <c r="L25" i="13" s="1"/>
  <c r="O25" i="13" s="1"/>
  <c r="P53" i="13"/>
  <c r="O65" i="13"/>
  <c r="M75" i="13"/>
  <c r="M73" i="13" s="1"/>
  <c r="P73" i="13" s="1"/>
  <c r="M97" i="13"/>
  <c r="M98" i="13"/>
  <c r="P98" i="13" s="1"/>
  <c r="S121" i="13"/>
  <c r="T121" i="13" s="1"/>
  <c r="T123" i="13"/>
  <c r="T192" i="13"/>
  <c r="L236" i="13"/>
  <c r="S267" i="13"/>
  <c r="R307" i="13"/>
  <c r="U307" i="13" s="1"/>
  <c r="O326" i="13"/>
  <c r="N323" i="13"/>
  <c r="N321" i="13" s="1"/>
  <c r="O329" i="13"/>
  <c r="L327" i="13"/>
  <c r="O327" i="13" s="1"/>
  <c r="K331" i="13"/>
  <c r="I320" i="13"/>
  <c r="K320" i="13" s="1"/>
  <c r="L363" i="13"/>
  <c r="O363" i="13" s="1"/>
  <c r="L359" i="13"/>
  <c r="K387" i="13"/>
  <c r="I375" i="13"/>
  <c r="P519" i="13"/>
  <c r="M516" i="13"/>
  <c r="K633" i="13"/>
  <c r="K632" i="13"/>
  <c r="L75" i="12"/>
  <c r="O75" i="12" s="1"/>
  <c r="I93" i="12"/>
  <c r="K93" i="12" s="1"/>
  <c r="M124" i="12"/>
  <c r="P124" i="12" s="1"/>
  <c r="S161" i="12"/>
  <c r="L520" i="12"/>
  <c r="O520" i="12" s="1"/>
  <c r="T619" i="12"/>
  <c r="O50" i="13"/>
  <c r="N75" i="13"/>
  <c r="N73" i="13" s="1"/>
  <c r="R76" i="13"/>
  <c r="U76" i="13" s="1"/>
  <c r="N97" i="13"/>
  <c r="N95" i="13" s="1"/>
  <c r="T100" i="13"/>
  <c r="K109" i="13"/>
  <c r="N189" i="13"/>
  <c r="P190" i="13"/>
  <c r="I196" i="13"/>
  <c r="K196" i="13" s="1"/>
  <c r="O272" i="13"/>
  <c r="N285" i="13"/>
  <c r="N283" i="13" s="1"/>
  <c r="R306" i="13"/>
  <c r="P337" i="13"/>
  <c r="O360" i="13"/>
  <c r="U694" i="13"/>
  <c r="N269" i="11"/>
  <c r="N267" i="11" s="1"/>
  <c r="S619" i="11"/>
  <c r="S617" i="11" s="1"/>
  <c r="I760" i="11"/>
  <c r="K760" i="11" s="1"/>
  <c r="O177" i="12"/>
  <c r="M180" i="12"/>
  <c r="P180" i="12" s="1"/>
  <c r="S617" i="12"/>
  <c r="M24" i="13"/>
  <c r="M22" i="13" s="1"/>
  <c r="Q75" i="13"/>
  <c r="T75" i="13" s="1"/>
  <c r="Q97" i="13"/>
  <c r="R118" i="13"/>
  <c r="U118" i="13" s="1"/>
  <c r="O145" i="13"/>
  <c r="S160" i="13"/>
  <c r="S158" i="13" s="1"/>
  <c r="L190" i="13"/>
  <c r="O190" i="13" s="1"/>
  <c r="L204" i="13"/>
  <c r="O204" i="13" s="1"/>
  <c r="L215" i="13"/>
  <c r="O215" i="13" s="1"/>
  <c r="T272" i="13"/>
  <c r="Q270" i="13"/>
  <c r="N307" i="13"/>
  <c r="N306" i="13"/>
  <c r="N304" i="13" s="1"/>
  <c r="M323" i="13"/>
  <c r="K345" i="13"/>
  <c r="I333" i="13"/>
  <c r="R732" i="13"/>
  <c r="U732" i="13" s="1"/>
  <c r="U734" i="13"/>
  <c r="O48" i="13"/>
  <c r="T378" i="13"/>
  <c r="Q376" i="13"/>
  <c r="K153" i="12"/>
  <c r="S189" i="12"/>
  <c r="S187" i="12" s="1"/>
  <c r="L215" i="12"/>
  <c r="O215" i="12" s="1"/>
  <c r="L235" i="12"/>
  <c r="N47" i="13"/>
  <c r="N45" i="13" s="1"/>
  <c r="N142" i="13"/>
  <c r="M143" i="13"/>
  <c r="P143" i="13" s="1"/>
  <c r="K155" i="13"/>
  <c r="L234" i="13"/>
  <c r="U272" i="13"/>
  <c r="S270" i="13"/>
  <c r="U270" i="13" s="1"/>
  <c r="I282" i="13"/>
  <c r="K282" i="13" s="1"/>
  <c r="K293" i="13"/>
  <c r="T309" i="13"/>
  <c r="Q306" i="13"/>
  <c r="L142" i="11"/>
  <c r="O142" i="11" s="1"/>
  <c r="M47" i="13"/>
  <c r="M45" i="13" s="1"/>
  <c r="I117" i="13"/>
  <c r="K117" i="13" s="1"/>
  <c r="Q120" i="13"/>
  <c r="T120" i="13" s="1"/>
  <c r="P362" i="13"/>
  <c r="M360" i="13"/>
  <c r="P360" i="13" s="1"/>
  <c r="U419" i="13"/>
  <c r="R417" i="13"/>
  <c r="U417" i="13" s="1"/>
  <c r="I493" i="13"/>
  <c r="J504" i="13"/>
  <c r="J493" i="13" s="1"/>
  <c r="Q619" i="13"/>
  <c r="T381" i="13"/>
  <c r="T696" i="13"/>
  <c r="N336" i="13"/>
  <c r="N334" i="13" s="1"/>
  <c r="J344" i="13"/>
  <c r="K369" i="13"/>
  <c r="T499" i="13"/>
  <c r="U696" i="13"/>
  <c r="K706" i="13"/>
  <c r="I760" i="13"/>
  <c r="K760" i="13" s="1"/>
  <c r="S376" i="13"/>
  <c r="S416" i="13"/>
  <c r="S414" i="13" s="1"/>
  <c r="S496" i="13"/>
  <c r="S494" i="13" s="1"/>
  <c r="R729" i="13"/>
  <c r="S731" i="13"/>
  <c r="S729" i="13" s="1"/>
  <c r="O362" i="13"/>
  <c r="Q379" i="13"/>
  <c r="T497" i="13"/>
  <c r="R620" i="13"/>
  <c r="Q646" i="13"/>
  <c r="T646" i="13" s="1"/>
  <c r="J676" i="13"/>
  <c r="Q694" i="13"/>
  <c r="T694" i="13" s="1"/>
  <c r="K779" i="13"/>
  <c r="K782" i="13"/>
  <c r="K785" i="13"/>
  <c r="P63" i="13"/>
  <c r="L24" i="12"/>
  <c r="L22" i="12" s="1"/>
  <c r="I759" i="12"/>
  <c r="K759" i="12" s="1"/>
  <c r="N24" i="13"/>
  <c r="N27" i="13"/>
  <c r="N25" i="13" s="1"/>
  <c r="Q45" i="13"/>
  <c r="T45" i="13" s="1"/>
  <c r="N51" i="13"/>
  <c r="Q60" i="13"/>
  <c r="T60" i="13" s="1"/>
  <c r="N66" i="13"/>
  <c r="Q76" i="13"/>
  <c r="T76" i="13" s="1"/>
  <c r="L98" i="13"/>
  <c r="O98" i="13" s="1"/>
  <c r="R98" i="13"/>
  <c r="L101" i="13"/>
  <c r="O101" i="13" s="1"/>
  <c r="K110" i="13"/>
  <c r="T119" i="13"/>
  <c r="N120" i="13"/>
  <c r="N118" i="13" s="1"/>
  <c r="O126" i="13"/>
  <c r="L124" i="13"/>
  <c r="O124" i="13" s="1"/>
  <c r="Q142" i="13"/>
  <c r="O163" i="13"/>
  <c r="L161" i="13"/>
  <c r="O161" i="13" s="1"/>
  <c r="M164" i="13"/>
  <c r="P164" i="13" s="1"/>
  <c r="O166" i="13"/>
  <c r="L164" i="13"/>
  <c r="O164" i="13" s="1"/>
  <c r="R174" i="13"/>
  <c r="U174" i="13" s="1"/>
  <c r="I214" i="13"/>
  <c r="K214" i="13" s="1"/>
  <c r="L235" i="13"/>
  <c r="O63" i="12"/>
  <c r="U179" i="12"/>
  <c r="M286" i="12"/>
  <c r="P286" i="12" s="1"/>
  <c r="U27" i="13"/>
  <c r="P50" i="13"/>
  <c r="P65" i="13"/>
  <c r="P78" i="13"/>
  <c r="P81" i="13"/>
  <c r="I84" i="13"/>
  <c r="P141" i="13"/>
  <c r="O179" i="13"/>
  <c r="L177" i="13"/>
  <c r="O177" i="13" s="1"/>
  <c r="O182" i="13"/>
  <c r="L180" i="13"/>
  <c r="O180" i="13" s="1"/>
  <c r="N692" i="1"/>
  <c r="M48" i="13"/>
  <c r="P48" i="13" s="1"/>
  <c r="U123" i="13"/>
  <c r="R121" i="13"/>
  <c r="L289" i="12"/>
  <c r="O289" i="12" s="1"/>
  <c r="U119" i="13"/>
  <c r="I157" i="13"/>
  <c r="K157" i="13" s="1"/>
  <c r="M160" i="13"/>
  <c r="Q161" i="13"/>
  <c r="T161" i="13" s="1"/>
  <c r="T163" i="13"/>
  <c r="L176" i="13"/>
  <c r="M177" i="13"/>
  <c r="P177" i="13" s="1"/>
  <c r="P188" i="13"/>
  <c r="P192" i="13"/>
  <c r="O337" i="13"/>
  <c r="R76" i="12"/>
  <c r="U76" i="12" s="1"/>
  <c r="O145" i="12"/>
  <c r="M324" i="12"/>
  <c r="P324" i="12" s="1"/>
  <c r="K779" i="12"/>
  <c r="K782" i="12"/>
  <c r="K785" i="12"/>
  <c r="O123" i="13"/>
  <c r="L121" i="13"/>
  <c r="O121" i="13" s="1"/>
  <c r="Q158" i="13"/>
  <c r="T158" i="13" s="1"/>
  <c r="T159" i="13"/>
  <c r="U163" i="13"/>
  <c r="R161" i="13"/>
  <c r="U161" i="13" s="1"/>
  <c r="M176" i="13"/>
  <c r="Q177" i="13"/>
  <c r="T177" i="13" s="1"/>
  <c r="T179" i="13"/>
  <c r="L142" i="12"/>
  <c r="L140" i="12" s="1"/>
  <c r="M27" i="13"/>
  <c r="P27" i="13" s="1"/>
  <c r="M120" i="13"/>
  <c r="M124" i="13"/>
  <c r="P124" i="13" s="1"/>
  <c r="R158" i="13"/>
  <c r="U158" i="13" s="1"/>
  <c r="Q174" i="13"/>
  <c r="T174" i="13" s="1"/>
  <c r="T175" i="13"/>
  <c r="U179" i="13"/>
  <c r="R177" i="13"/>
  <c r="U177" i="13" s="1"/>
  <c r="M289" i="13"/>
  <c r="P289" i="13" s="1"/>
  <c r="P322" i="13"/>
  <c r="L323" i="13"/>
  <c r="N324" i="13"/>
  <c r="O324" i="13" s="1"/>
  <c r="M336" i="13"/>
  <c r="L340" i="13"/>
  <c r="O340" i="13" s="1"/>
  <c r="T732" i="13"/>
  <c r="O339" i="13"/>
  <c r="P272" i="13"/>
  <c r="Q321" i="13"/>
  <c r="T321" i="13" s="1"/>
  <c r="R334" i="13"/>
  <c r="U334" i="13" s="1"/>
  <c r="P339" i="13"/>
  <c r="K627" i="13"/>
  <c r="J616" i="13"/>
  <c r="K616" i="13" s="1"/>
  <c r="L285" i="13"/>
  <c r="O291" i="13"/>
  <c r="R321" i="13"/>
  <c r="U321" i="13" s="1"/>
  <c r="P326" i="13"/>
  <c r="M285" i="13"/>
  <c r="P285" i="13" s="1"/>
  <c r="L336" i="13"/>
  <c r="P365" i="13"/>
  <c r="R514" i="13"/>
  <c r="U514" i="13" s="1"/>
  <c r="T515" i="13"/>
  <c r="L517" i="13"/>
  <c r="O517" i="13" s="1"/>
  <c r="M535" i="13"/>
  <c r="P535" i="13" s="1"/>
  <c r="O536" i="13"/>
  <c r="U536" i="13"/>
  <c r="M577" i="13"/>
  <c r="P577" i="13" s="1"/>
  <c r="O578" i="13"/>
  <c r="U578" i="13"/>
  <c r="M600" i="13"/>
  <c r="P600" i="13" s="1"/>
  <c r="O601" i="13"/>
  <c r="U601" i="13"/>
  <c r="K630" i="13"/>
  <c r="S645" i="13"/>
  <c r="S643" i="13" s="1"/>
  <c r="S693" i="13"/>
  <c r="S691" i="13" s="1"/>
  <c r="M715" i="13"/>
  <c r="P715" i="13" s="1"/>
  <c r="O716" i="13"/>
  <c r="U716" i="13"/>
  <c r="M729" i="13"/>
  <c r="P729" i="13" s="1"/>
  <c r="O730" i="13"/>
  <c r="U730" i="13"/>
  <c r="Q731" i="13"/>
  <c r="Q729" i="13" s="1"/>
  <c r="T734" i="13"/>
  <c r="P762" i="13"/>
  <c r="R763" i="13"/>
  <c r="U763" i="13" s="1"/>
  <c r="U766" i="13"/>
  <c r="L376" i="13"/>
  <c r="O376" i="13" s="1"/>
  <c r="R379" i="13"/>
  <c r="U379" i="13" s="1"/>
  <c r="Q417" i="13"/>
  <c r="T417" i="13" s="1"/>
  <c r="M376" i="13"/>
  <c r="P376" i="13" s="1"/>
  <c r="R378" i="13"/>
  <c r="U378" i="13" s="1"/>
  <c r="K458" i="13"/>
  <c r="S620" i="13"/>
  <c r="T622" i="13"/>
  <c r="N516" i="13"/>
  <c r="N514" i="13" s="1"/>
  <c r="Q535" i="13"/>
  <c r="T535" i="13" s="1"/>
  <c r="Q577" i="13"/>
  <c r="T577" i="13" s="1"/>
  <c r="Q600" i="13"/>
  <c r="T600" i="13" s="1"/>
  <c r="R619" i="13"/>
  <c r="M643" i="13"/>
  <c r="P643" i="13" s="1"/>
  <c r="Q645" i="13"/>
  <c r="M691" i="13"/>
  <c r="P691" i="13" s="1"/>
  <c r="Q693" i="13"/>
  <c r="Q715" i="13"/>
  <c r="T715" i="13" s="1"/>
  <c r="I759" i="13"/>
  <c r="K759" i="13" s="1"/>
  <c r="L761" i="13"/>
  <c r="O761" i="13" s="1"/>
  <c r="R645" i="13"/>
  <c r="R693" i="13"/>
  <c r="Q763" i="13"/>
  <c r="U381" i="12"/>
  <c r="R379" i="12"/>
  <c r="U379" i="12" s="1"/>
  <c r="S120" i="11"/>
  <c r="S118" i="11" s="1"/>
  <c r="T766" i="11"/>
  <c r="Q76" i="12"/>
  <c r="T76" i="12" s="1"/>
  <c r="Q161" i="12"/>
  <c r="T161" i="12" s="1"/>
  <c r="M160" i="12"/>
  <c r="P160" i="12" s="1"/>
  <c r="L176" i="12"/>
  <c r="L174" i="12" s="1"/>
  <c r="M193" i="12"/>
  <c r="P193" i="12" s="1"/>
  <c r="L204" i="12"/>
  <c r="O204" i="12" s="1"/>
  <c r="O365" i="12"/>
  <c r="L363" i="12"/>
  <c r="O363" i="12" s="1"/>
  <c r="Q378" i="12"/>
  <c r="T378" i="12" s="1"/>
  <c r="K504" i="12"/>
  <c r="I493" i="12"/>
  <c r="K493" i="12" s="1"/>
  <c r="S160" i="11"/>
  <c r="S158" i="11" s="1"/>
  <c r="U499" i="11"/>
  <c r="Q75" i="12"/>
  <c r="S98" i="12"/>
  <c r="U145" i="12"/>
  <c r="P179" i="12"/>
  <c r="S693" i="12"/>
  <c r="S691" i="12" s="1"/>
  <c r="T691" i="12" s="1"/>
  <c r="S694" i="12"/>
  <c r="U694" i="12" s="1"/>
  <c r="O65" i="12"/>
  <c r="O126" i="12"/>
  <c r="L160" i="12"/>
  <c r="O160" i="12" s="1"/>
  <c r="L164" i="12"/>
  <c r="O164" i="12" s="1"/>
  <c r="I222" i="12"/>
  <c r="K222" i="12" s="1"/>
  <c r="K345" i="12"/>
  <c r="I457" i="12"/>
  <c r="K457" i="12" s="1"/>
  <c r="M142" i="12"/>
  <c r="M140" i="12" s="1"/>
  <c r="R174" i="12"/>
  <c r="U174" i="12" s="1"/>
  <c r="M189" i="12"/>
  <c r="M187" i="12" s="1"/>
  <c r="L223" i="12"/>
  <c r="O223" i="12" s="1"/>
  <c r="O342" i="12"/>
  <c r="L340" i="12"/>
  <c r="O340" i="12" s="1"/>
  <c r="K441" i="12"/>
  <c r="I424" i="12"/>
  <c r="I413" i="12" s="1"/>
  <c r="K413" i="12" s="1"/>
  <c r="L336" i="11"/>
  <c r="L334" i="11" s="1"/>
  <c r="R496" i="11"/>
  <c r="U496" i="11" s="1"/>
  <c r="Q763" i="11"/>
  <c r="T763" i="11" s="1"/>
  <c r="L76" i="12"/>
  <c r="O76" i="12" s="1"/>
  <c r="R142" i="12"/>
  <c r="U142" i="12" s="1"/>
  <c r="U192" i="12"/>
  <c r="L516" i="12"/>
  <c r="O516" i="12" s="1"/>
  <c r="Q620" i="12"/>
  <c r="J352" i="12"/>
  <c r="N516" i="12"/>
  <c r="N514" i="12" s="1"/>
  <c r="K631" i="12"/>
  <c r="O339" i="12"/>
  <c r="O360" i="12"/>
  <c r="I760" i="12"/>
  <c r="K760" i="12" s="1"/>
  <c r="N323" i="12"/>
  <c r="N321" i="12" s="1"/>
  <c r="J344" i="12"/>
  <c r="P360" i="12"/>
  <c r="T732" i="12"/>
  <c r="T696" i="12"/>
  <c r="K780" i="12"/>
  <c r="K786" i="12"/>
  <c r="Q731" i="9"/>
  <c r="Q729" i="9" s="1"/>
  <c r="T729" i="9" s="1"/>
  <c r="Q120" i="11"/>
  <c r="Q118" i="11" s="1"/>
  <c r="T734" i="11"/>
  <c r="N24" i="12"/>
  <c r="L79" i="12"/>
  <c r="O79" i="12" s="1"/>
  <c r="Q121" i="12"/>
  <c r="U123" i="12"/>
  <c r="O182" i="12"/>
  <c r="R187" i="12"/>
  <c r="P192" i="12"/>
  <c r="L244" i="12"/>
  <c r="O244" i="12" s="1"/>
  <c r="M285" i="12"/>
  <c r="M289" i="12"/>
  <c r="P289" i="12" s="1"/>
  <c r="K293" i="12"/>
  <c r="I303" i="12"/>
  <c r="K303" i="12" s="1"/>
  <c r="N327" i="12"/>
  <c r="O329" i="12"/>
  <c r="P339" i="12"/>
  <c r="K370" i="12"/>
  <c r="S416" i="12"/>
  <c r="S414" i="12" s="1"/>
  <c r="Q496" i="12"/>
  <c r="T496" i="12" s="1"/>
  <c r="Q497" i="12"/>
  <c r="T497" i="12" s="1"/>
  <c r="J504" i="12"/>
  <c r="J493" i="12" s="1"/>
  <c r="U696" i="12"/>
  <c r="K704" i="12"/>
  <c r="I702" i="12"/>
  <c r="I375" i="11"/>
  <c r="Q496" i="11"/>
  <c r="T496" i="11" s="1"/>
  <c r="S693" i="11"/>
  <c r="S691" i="11" s="1"/>
  <c r="R24" i="12"/>
  <c r="R21" i="12" s="1"/>
  <c r="Q24" i="12"/>
  <c r="Q22" i="12" s="1"/>
  <c r="L101" i="12"/>
  <c r="O101" i="12" s="1"/>
  <c r="R121" i="12"/>
  <c r="L161" i="12"/>
  <c r="O161" i="12" s="1"/>
  <c r="M177" i="12"/>
  <c r="P177" i="12" s="1"/>
  <c r="T190" i="12"/>
  <c r="J375" i="12"/>
  <c r="J702" i="12"/>
  <c r="Q189" i="10"/>
  <c r="T189" i="10" s="1"/>
  <c r="K347" i="10"/>
  <c r="Q693" i="10"/>
  <c r="T693" i="10" s="1"/>
  <c r="M124" i="11"/>
  <c r="P124" i="11" s="1"/>
  <c r="S24" i="12"/>
  <c r="S21" i="12" s="1"/>
  <c r="S19" i="12" s="1"/>
  <c r="S95" i="12"/>
  <c r="P100" i="12"/>
  <c r="T163" i="12"/>
  <c r="N269" i="12"/>
  <c r="N267" i="12" s="1"/>
  <c r="T270" i="12"/>
  <c r="O288" i="12"/>
  <c r="N307" i="12"/>
  <c r="M363" i="12"/>
  <c r="P363" i="12" s="1"/>
  <c r="M520" i="12"/>
  <c r="P520" i="12" s="1"/>
  <c r="K632" i="12"/>
  <c r="J676" i="12"/>
  <c r="K170" i="11"/>
  <c r="J675" i="11"/>
  <c r="M66" i="12"/>
  <c r="P66" i="12" s="1"/>
  <c r="M98" i="12"/>
  <c r="P98" i="12" s="1"/>
  <c r="U163" i="12"/>
  <c r="R190" i="12"/>
  <c r="U190" i="12" s="1"/>
  <c r="L255" i="12"/>
  <c r="O255" i="12" s="1"/>
  <c r="P270" i="12"/>
  <c r="I690" i="12"/>
  <c r="K690" i="12" s="1"/>
  <c r="K708" i="12"/>
  <c r="K780" i="8"/>
  <c r="K783" i="8"/>
  <c r="K786" i="8"/>
  <c r="R121" i="10"/>
  <c r="U121" i="10" s="1"/>
  <c r="M164" i="10"/>
  <c r="P164" i="10" s="1"/>
  <c r="N142" i="11"/>
  <c r="N140" i="11" s="1"/>
  <c r="K331" i="11"/>
  <c r="S645" i="11"/>
  <c r="S643" i="11" s="1"/>
  <c r="M75" i="12"/>
  <c r="P75" i="12" s="1"/>
  <c r="N142" i="12"/>
  <c r="N140" i="12" s="1"/>
  <c r="R158" i="12"/>
  <c r="U158" i="12" s="1"/>
  <c r="P272" i="12"/>
  <c r="Q306" i="12"/>
  <c r="L323" i="12"/>
  <c r="O323" i="12" s="1"/>
  <c r="O519" i="12"/>
  <c r="Q617" i="12"/>
  <c r="K633" i="12"/>
  <c r="K710" i="12"/>
  <c r="S731" i="12"/>
  <c r="S729" i="12" s="1"/>
  <c r="T734" i="12"/>
  <c r="T766" i="12"/>
  <c r="Q694" i="12"/>
  <c r="U732" i="12"/>
  <c r="U766" i="12"/>
  <c r="K781" i="12"/>
  <c r="L237" i="10"/>
  <c r="K370" i="10"/>
  <c r="K458" i="10"/>
  <c r="R120" i="11"/>
  <c r="R118" i="11" s="1"/>
  <c r="O145" i="11"/>
  <c r="R176" i="11"/>
  <c r="U176" i="11" s="1"/>
  <c r="T270" i="11"/>
  <c r="L289" i="11"/>
  <c r="O289" i="11" s="1"/>
  <c r="R306" i="11"/>
  <c r="R304" i="11" s="1"/>
  <c r="O339" i="11"/>
  <c r="J344" i="11"/>
  <c r="M363" i="11"/>
  <c r="P363" i="11" s="1"/>
  <c r="J703" i="11"/>
  <c r="U734" i="11"/>
  <c r="Q25" i="12"/>
  <c r="T25" i="12" s="1"/>
  <c r="P26" i="12"/>
  <c r="N27" i="12"/>
  <c r="N25" i="12" s="1"/>
  <c r="U27" i="12"/>
  <c r="N47" i="12"/>
  <c r="N45" i="12" s="1"/>
  <c r="P61" i="12"/>
  <c r="N62" i="12"/>
  <c r="N60" i="12" s="1"/>
  <c r="N75" i="12"/>
  <c r="N73" i="12" s="1"/>
  <c r="K153" i="10"/>
  <c r="Q270" i="10"/>
  <c r="Q24" i="11"/>
  <c r="Q22" i="11" s="1"/>
  <c r="L164" i="11"/>
  <c r="O164" i="11" s="1"/>
  <c r="Q177" i="11"/>
  <c r="T177" i="11" s="1"/>
  <c r="O192" i="11"/>
  <c r="L269" i="11"/>
  <c r="L267" i="11" s="1"/>
  <c r="O267" i="11" s="1"/>
  <c r="U270" i="11"/>
  <c r="M289" i="11"/>
  <c r="P289" i="11" s="1"/>
  <c r="K372" i="11"/>
  <c r="L517" i="11"/>
  <c r="O517" i="11" s="1"/>
  <c r="Q732" i="11"/>
  <c r="K779" i="11"/>
  <c r="K785" i="11"/>
  <c r="Q20" i="12"/>
  <c r="M24" i="12"/>
  <c r="O53" i="12"/>
  <c r="L47" i="12"/>
  <c r="M63" i="12"/>
  <c r="P63" i="12" s="1"/>
  <c r="P65" i="12"/>
  <c r="S174" i="12"/>
  <c r="U270" i="12"/>
  <c r="I616" i="10"/>
  <c r="K616" i="10" s="1"/>
  <c r="I173" i="11"/>
  <c r="K173" i="11" s="1"/>
  <c r="R177" i="11"/>
  <c r="U177" i="11" s="1"/>
  <c r="N190" i="11"/>
  <c r="O190" i="11" s="1"/>
  <c r="I222" i="11"/>
  <c r="K222" i="11" s="1"/>
  <c r="O342" i="11"/>
  <c r="R25" i="12"/>
  <c r="U25" i="12" s="1"/>
  <c r="U26" i="12"/>
  <c r="U74" i="12"/>
  <c r="Q731" i="11"/>
  <c r="Q729" i="11" s="1"/>
  <c r="T729" i="11" s="1"/>
  <c r="O26" i="12"/>
  <c r="Q60" i="12"/>
  <c r="T60" i="12" s="1"/>
  <c r="U61" i="12"/>
  <c r="R60" i="12"/>
  <c r="U60" i="12" s="1"/>
  <c r="L27" i="12"/>
  <c r="O50" i="12"/>
  <c r="O74" i="12"/>
  <c r="P96" i="12"/>
  <c r="O326" i="10"/>
  <c r="O123" i="11"/>
  <c r="Q176" i="11"/>
  <c r="T176" i="11" s="1"/>
  <c r="M324" i="11"/>
  <c r="P324" i="11" s="1"/>
  <c r="J702" i="11"/>
  <c r="P46" i="12"/>
  <c r="M47" i="12"/>
  <c r="P50" i="12"/>
  <c r="O61" i="12"/>
  <c r="M62" i="12"/>
  <c r="O68" i="12"/>
  <c r="L62" i="12"/>
  <c r="P74" i="12"/>
  <c r="I94" i="12"/>
  <c r="K94" i="12" s="1"/>
  <c r="I139" i="12"/>
  <c r="K139" i="12" s="1"/>
  <c r="Q142" i="12"/>
  <c r="N143" i="12"/>
  <c r="P145" i="12"/>
  <c r="O148" i="12"/>
  <c r="Q158" i="12"/>
  <c r="T158" i="12" s="1"/>
  <c r="U159" i="12"/>
  <c r="O179" i="12"/>
  <c r="Q189" i="12"/>
  <c r="N190" i="12"/>
  <c r="T192" i="12"/>
  <c r="L269" i="12"/>
  <c r="O269" i="12" s="1"/>
  <c r="S269" i="12"/>
  <c r="S267" i="12" s="1"/>
  <c r="M273" i="12"/>
  <c r="P273" i="12" s="1"/>
  <c r="Q283" i="12"/>
  <c r="T283" i="12" s="1"/>
  <c r="U284" i="12"/>
  <c r="M310" i="12"/>
  <c r="P310" i="12" s="1"/>
  <c r="O326" i="12"/>
  <c r="I333" i="12"/>
  <c r="N359" i="12"/>
  <c r="N357" i="12" s="1"/>
  <c r="I83" i="12"/>
  <c r="N97" i="12"/>
  <c r="N95" i="12" s="1"/>
  <c r="Q98" i="12"/>
  <c r="T98" i="12" s="1"/>
  <c r="S121" i="12"/>
  <c r="N176" i="12"/>
  <c r="N174" i="12" s="1"/>
  <c r="Q177" i="12"/>
  <c r="T177" i="12" s="1"/>
  <c r="L193" i="12"/>
  <c r="O193" i="12" s="1"/>
  <c r="L237" i="12"/>
  <c r="M269" i="12"/>
  <c r="R304" i="12"/>
  <c r="U304" i="12" s="1"/>
  <c r="O312" i="12"/>
  <c r="L310" i="12"/>
  <c r="O310" i="12" s="1"/>
  <c r="L336" i="12"/>
  <c r="L337" i="12"/>
  <c r="O337" i="12" s="1"/>
  <c r="K369" i="12"/>
  <c r="L270" i="12"/>
  <c r="O270" i="12" s="1"/>
  <c r="U272" i="12"/>
  <c r="M336" i="12"/>
  <c r="M337" i="12"/>
  <c r="P337" i="12" s="1"/>
  <c r="T123" i="12"/>
  <c r="I196" i="12"/>
  <c r="K196" i="12" s="1"/>
  <c r="U309" i="12"/>
  <c r="R307" i="12"/>
  <c r="U307" i="12" s="1"/>
  <c r="N336" i="12"/>
  <c r="N334" i="12" s="1"/>
  <c r="N340" i="12"/>
  <c r="P78" i="12"/>
  <c r="P81" i="12"/>
  <c r="I84" i="12"/>
  <c r="Q97" i="12"/>
  <c r="M120" i="12"/>
  <c r="P120" i="12" s="1"/>
  <c r="S120" i="12"/>
  <c r="T120" i="12" s="1"/>
  <c r="U175" i="12"/>
  <c r="Q176" i="12"/>
  <c r="K250" i="12"/>
  <c r="T268" i="12"/>
  <c r="Q269" i="12"/>
  <c r="T272" i="12"/>
  <c r="K294" i="12"/>
  <c r="O305" i="12"/>
  <c r="L306" i="12"/>
  <c r="O306" i="12" s="1"/>
  <c r="J333" i="12"/>
  <c r="O362" i="12"/>
  <c r="N120" i="12"/>
  <c r="N118" i="12" s="1"/>
  <c r="I157" i="12"/>
  <c r="K157" i="12" s="1"/>
  <c r="O192" i="12"/>
  <c r="R269" i="12"/>
  <c r="R267" i="12" s="1"/>
  <c r="L273" i="12"/>
  <c r="O273" i="12" s="1"/>
  <c r="M306" i="12"/>
  <c r="P306" i="12" s="1"/>
  <c r="O309" i="12"/>
  <c r="L307" i="12"/>
  <c r="O307" i="12" s="1"/>
  <c r="T309" i="12"/>
  <c r="P329" i="12"/>
  <c r="M323" i="12"/>
  <c r="M327" i="12"/>
  <c r="P327" i="12" s="1"/>
  <c r="K331" i="12"/>
  <c r="T335" i="12"/>
  <c r="P342" i="12"/>
  <c r="P358" i="12"/>
  <c r="M359" i="12"/>
  <c r="M357" i="12" s="1"/>
  <c r="P362" i="12"/>
  <c r="S376" i="12"/>
  <c r="L359" i="12"/>
  <c r="R393" i="12"/>
  <c r="U393" i="12" s="1"/>
  <c r="T394" i="12"/>
  <c r="T415" i="12"/>
  <c r="U419" i="12"/>
  <c r="S496" i="12"/>
  <c r="S494" i="12" s="1"/>
  <c r="N517" i="12"/>
  <c r="L535" i="12"/>
  <c r="O535" i="12" s="1"/>
  <c r="M556" i="12"/>
  <c r="P556" i="12" s="1"/>
  <c r="S577" i="12"/>
  <c r="L600" i="12"/>
  <c r="O600" i="12" s="1"/>
  <c r="S620" i="12"/>
  <c r="U622" i="12"/>
  <c r="S646" i="12"/>
  <c r="T764" i="12"/>
  <c r="M393" i="12"/>
  <c r="P393" i="12" s="1"/>
  <c r="L414" i="12"/>
  <c r="O414" i="12" s="1"/>
  <c r="U499" i="12"/>
  <c r="R496" i="12"/>
  <c r="U496" i="12" s="1"/>
  <c r="U764" i="12"/>
  <c r="U648" i="12"/>
  <c r="R645" i="12"/>
  <c r="M376" i="12"/>
  <c r="P376" i="12" s="1"/>
  <c r="S379" i="12"/>
  <c r="T379" i="12" s="1"/>
  <c r="T381" i="12"/>
  <c r="K387" i="12"/>
  <c r="R497" i="12"/>
  <c r="U497" i="12" s="1"/>
  <c r="M516" i="12"/>
  <c r="Q556" i="12"/>
  <c r="T556" i="12" s="1"/>
  <c r="R577" i="12"/>
  <c r="U577" i="12" s="1"/>
  <c r="P578" i="12"/>
  <c r="Q645" i="12"/>
  <c r="R378" i="12"/>
  <c r="T495" i="12"/>
  <c r="L577" i="12"/>
  <c r="O577" i="12" s="1"/>
  <c r="Q646" i="12"/>
  <c r="T646" i="12" s="1"/>
  <c r="N494" i="12"/>
  <c r="R514" i="12"/>
  <c r="U514" i="12" s="1"/>
  <c r="M517" i="12"/>
  <c r="P517" i="12" s="1"/>
  <c r="R535" i="12"/>
  <c r="U535" i="12" s="1"/>
  <c r="P536" i="12"/>
  <c r="R600" i="12"/>
  <c r="U600" i="12" s="1"/>
  <c r="P601" i="12"/>
  <c r="M617" i="12"/>
  <c r="P617" i="12" s="1"/>
  <c r="R619" i="12"/>
  <c r="T622" i="12"/>
  <c r="R646" i="12"/>
  <c r="U646" i="12" s="1"/>
  <c r="M715" i="12"/>
  <c r="P715" i="12" s="1"/>
  <c r="O716" i="12"/>
  <c r="U716" i="12"/>
  <c r="M729" i="12"/>
  <c r="P729" i="12" s="1"/>
  <c r="O730" i="12"/>
  <c r="U730" i="12"/>
  <c r="Q731" i="12"/>
  <c r="P762" i="12"/>
  <c r="R763" i="12"/>
  <c r="R731" i="12"/>
  <c r="U734" i="12"/>
  <c r="S763" i="12"/>
  <c r="S761" i="12" s="1"/>
  <c r="R693" i="12"/>
  <c r="Q763" i="12"/>
  <c r="K632" i="11"/>
  <c r="I616" i="11"/>
  <c r="K616" i="11" s="1"/>
  <c r="K627" i="11"/>
  <c r="S764" i="11"/>
  <c r="S763" i="11"/>
  <c r="S761" i="11" s="1"/>
  <c r="K773" i="11"/>
  <c r="I759" i="11"/>
  <c r="K759" i="11" s="1"/>
  <c r="K779" i="9"/>
  <c r="L76" i="10"/>
  <c r="O76" i="10" s="1"/>
  <c r="S142" i="10"/>
  <c r="S140" i="10" s="1"/>
  <c r="K786" i="10"/>
  <c r="N24" i="11"/>
  <c r="N22" i="11" s="1"/>
  <c r="Q161" i="11"/>
  <c r="T161" i="11" s="1"/>
  <c r="T163" i="11"/>
  <c r="Q160" i="11"/>
  <c r="T160" i="11" s="1"/>
  <c r="Q269" i="11"/>
  <c r="Q267" i="11" s="1"/>
  <c r="O288" i="11"/>
  <c r="L285" i="11"/>
  <c r="O285" i="11" s="1"/>
  <c r="L286" i="11"/>
  <c r="O286" i="11" s="1"/>
  <c r="N693" i="1"/>
  <c r="S98" i="9"/>
  <c r="U98" i="9" s="1"/>
  <c r="U499" i="9"/>
  <c r="K708" i="9"/>
  <c r="M101" i="10"/>
  <c r="P101" i="10" s="1"/>
  <c r="K261" i="10"/>
  <c r="R269" i="10"/>
  <c r="R267" i="10" s="1"/>
  <c r="L27" i="11"/>
  <c r="L25" i="11" s="1"/>
  <c r="O25" i="11" s="1"/>
  <c r="O81" i="11"/>
  <c r="L79" i="11"/>
  <c r="O79" i="11" s="1"/>
  <c r="L236" i="11"/>
  <c r="I303" i="11"/>
  <c r="K303" i="11" s="1"/>
  <c r="N323" i="11"/>
  <c r="N321" i="11" s="1"/>
  <c r="Q379" i="11"/>
  <c r="Q378" i="11"/>
  <c r="Q376" i="11" s="1"/>
  <c r="O522" i="11"/>
  <c r="L520" i="11"/>
  <c r="O520" i="11" s="1"/>
  <c r="L516" i="11"/>
  <c r="O516" i="11" s="1"/>
  <c r="I139" i="10"/>
  <c r="K139" i="10" s="1"/>
  <c r="T100" i="11"/>
  <c r="Q97" i="11"/>
  <c r="T97" i="11" s="1"/>
  <c r="I282" i="11"/>
  <c r="K282" i="11" s="1"/>
  <c r="K293" i="11"/>
  <c r="U648" i="11"/>
  <c r="R646" i="11"/>
  <c r="U646" i="11" s="1"/>
  <c r="R645" i="11"/>
  <c r="U645" i="11" s="1"/>
  <c r="K781" i="11"/>
  <c r="T100" i="9"/>
  <c r="O365" i="10"/>
  <c r="S76" i="11"/>
  <c r="S75" i="11"/>
  <c r="S73" i="11" s="1"/>
  <c r="R98" i="11"/>
  <c r="U98" i="11" s="1"/>
  <c r="U100" i="11"/>
  <c r="R97" i="11"/>
  <c r="U97" i="11" s="1"/>
  <c r="T145" i="11"/>
  <c r="Q143" i="11"/>
  <c r="T143" i="11" s="1"/>
  <c r="Q142" i="11"/>
  <c r="T142" i="11" s="1"/>
  <c r="L146" i="11"/>
  <c r="O146" i="11" s="1"/>
  <c r="O148" i="11"/>
  <c r="Q189" i="11"/>
  <c r="Q187" i="11" s="1"/>
  <c r="K277" i="11"/>
  <c r="I266" i="11"/>
  <c r="K266" i="11" s="1"/>
  <c r="K710" i="9"/>
  <c r="N142" i="10"/>
  <c r="N140" i="10" s="1"/>
  <c r="P365" i="10"/>
  <c r="L75" i="11"/>
  <c r="O75" i="11" s="1"/>
  <c r="S497" i="11"/>
  <c r="S496" i="11"/>
  <c r="S494" i="11" s="1"/>
  <c r="K633" i="11"/>
  <c r="L237" i="11"/>
  <c r="O329" i="11"/>
  <c r="K366" i="11"/>
  <c r="S732" i="11"/>
  <c r="K710" i="11"/>
  <c r="R731" i="11"/>
  <c r="U731" i="11" s="1"/>
  <c r="S98" i="11"/>
  <c r="M101" i="11"/>
  <c r="P101" i="11" s="1"/>
  <c r="M273" i="11"/>
  <c r="P273" i="11" s="1"/>
  <c r="N286" i="11"/>
  <c r="P288" i="11"/>
  <c r="O126" i="11"/>
  <c r="L223" i="11"/>
  <c r="O223" i="11" s="1"/>
  <c r="M269" i="11"/>
  <c r="M267" i="11" s="1"/>
  <c r="M285" i="11"/>
  <c r="P285" i="11" s="1"/>
  <c r="P519" i="11"/>
  <c r="K708" i="11"/>
  <c r="Q160" i="10"/>
  <c r="T160" i="10" s="1"/>
  <c r="S189" i="10"/>
  <c r="S187" i="10" s="1"/>
  <c r="L193" i="10"/>
  <c r="O193" i="10" s="1"/>
  <c r="P519" i="10"/>
  <c r="S24" i="11"/>
  <c r="S21" i="11" s="1"/>
  <c r="S19" i="11" s="1"/>
  <c r="P63" i="11"/>
  <c r="M75" i="11"/>
  <c r="I83" i="11"/>
  <c r="L97" i="11"/>
  <c r="O97" i="11" s="1"/>
  <c r="O100" i="11"/>
  <c r="O103" i="11"/>
  <c r="I117" i="11"/>
  <c r="K117" i="11" s="1"/>
  <c r="M120" i="11"/>
  <c r="P120" i="11" s="1"/>
  <c r="M121" i="11"/>
  <c r="P121" i="11" s="1"/>
  <c r="T123" i="11"/>
  <c r="R142" i="11"/>
  <c r="M160" i="11"/>
  <c r="P160" i="11" s="1"/>
  <c r="P163" i="11"/>
  <c r="S176" i="11"/>
  <c r="S174" i="11" s="1"/>
  <c r="P177" i="11"/>
  <c r="K210" i="11"/>
  <c r="P272" i="11"/>
  <c r="M307" i="11"/>
  <c r="P307" i="11" s="1"/>
  <c r="L323" i="11"/>
  <c r="L324" i="11"/>
  <c r="O324" i="11" s="1"/>
  <c r="N337" i="11"/>
  <c r="P337" i="11" s="1"/>
  <c r="J352" i="11"/>
  <c r="K370" i="11"/>
  <c r="R763" i="11"/>
  <c r="R761" i="11" s="1"/>
  <c r="U761" i="11" s="1"/>
  <c r="P123" i="10"/>
  <c r="L142" i="10"/>
  <c r="L146" i="10"/>
  <c r="O146" i="10" s="1"/>
  <c r="R620" i="10"/>
  <c r="K632" i="10"/>
  <c r="J702" i="10"/>
  <c r="M47" i="11"/>
  <c r="M45" i="11" s="1"/>
  <c r="L63" i="11"/>
  <c r="O63" i="11" s="1"/>
  <c r="T78" i="11"/>
  <c r="M97" i="11"/>
  <c r="P97" i="11" s="1"/>
  <c r="N120" i="11"/>
  <c r="N118" i="11" s="1"/>
  <c r="U121" i="11"/>
  <c r="L310" i="11"/>
  <c r="O310" i="11" s="1"/>
  <c r="J375" i="11"/>
  <c r="R764" i="11"/>
  <c r="U764" i="11" s="1"/>
  <c r="N146" i="10"/>
  <c r="N189" i="10"/>
  <c r="N187" i="10" s="1"/>
  <c r="K230" i="10"/>
  <c r="L51" i="11"/>
  <c r="O51" i="11" s="1"/>
  <c r="M62" i="11"/>
  <c r="M60" i="11" s="1"/>
  <c r="Q75" i="11"/>
  <c r="T75" i="11" s="1"/>
  <c r="I84" i="11"/>
  <c r="N97" i="11"/>
  <c r="N95" i="11" s="1"/>
  <c r="T121" i="11"/>
  <c r="N143" i="11"/>
  <c r="O179" i="11"/>
  <c r="N176" i="11"/>
  <c r="N174" i="11" s="1"/>
  <c r="L189" i="11"/>
  <c r="L204" i="11"/>
  <c r="O204" i="11" s="1"/>
  <c r="N270" i="11"/>
  <c r="P270" i="11" s="1"/>
  <c r="K786" i="11"/>
  <c r="I196" i="9"/>
  <c r="K196" i="9" s="1"/>
  <c r="L235" i="9"/>
  <c r="Q306" i="10"/>
  <c r="T306" i="10" s="1"/>
  <c r="N516" i="10"/>
  <c r="N514" i="10" s="1"/>
  <c r="L47" i="11"/>
  <c r="L45" i="11" s="1"/>
  <c r="P78" i="11"/>
  <c r="P81" i="11"/>
  <c r="Q98" i="11"/>
  <c r="T98" i="11" s="1"/>
  <c r="U123" i="11"/>
  <c r="U145" i="11"/>
  <c r="M176" i="11"/>
  <c r="P182" i="11"/>
  <c r="L193" i="11"/>
  <c r="O193" i="11" s="1"/>
  <c r="L244" i="11"/>
  <c r="O244" i="11" s="1"/>
  <c r="M306" i="11"/>
  <c r="N359" i="11"/>
  <c r="N357" i="11" s="1"/>
  <c r="K630" i="11"/>
  <c r="U696" i="11"/>
  <c r="K784" i="11"/>
  <c r="M24" i="11"/>
  <c r="M22" i="11" s="1"/>
  <c r="S95" i="11"/>
  <c r="I214" i="11"/>
  <c r="K214" i="11" s="1"/>
  <c r="U272" i="11"/>
  <c r="I281" i="11"/>
  <c r="K281" i="11" s="1"/>
  <c r="N336" i="11"/>
  <c r="N334" i="11" s="1"/>
  <c r="J333" i="11"/>
  <c r="K333" i="11" s="1"/>
  <c r="M359" i="11"/>
  <c r="P360" i="11"/>
  <c r="P362" i="11"/>
  <c r="I424" i="11"/>
  <c r="K631" i="11"/>
  <c r="K782" i="11"/>
  <c r="L60" i="11"/>
  <c r="U284" i="11"/>
  <c r="R283" i="11"/>
  <c r="U283" i="11" s="1"/>
  <c r="M340" i="11"/>
  <c r="P340" i="11" s="1"/>
  <c r="P342" i="11"/>
  <c r="M376" i="11"/>
  <c r="P376" i="11" s="1"/>
  <c r="P377" i="11"/>
  <c r="U381" i="11"/>
  <c r="R379" i="11"/>
  <c r="U379" i="11" s="1"/>
  <c r="R378" i="11"/>
  <c r="U378" i="11" s="1"/>
  <c r="K504" i="11"/>
  <c r="I493" i="11"/>
  <c r="K493" i="11" s="1"/>
  <c r="L535" i="11"/>
  <c r="O535" i="11" s="1"/>
  <c r="O537" i="11"/>
  <c r="M286" i="9"/>
  <c r="P286" i="9" s="1"/>
  <c r="M306" i="9"/>
  <c r="M304" i="9" s="1"/>
  <c r="O50" i="10"/>
  <c r="L101" i="10"/>
  <c r="O101" i="10" s="1"/>
  <c r="Q307" i="10"/>
  <c r="T307" i="10" s="1"/>
  <c r="L310" i="10"/>
  <c r="O310" i="10" s="1"/>
  <c r="N336" i="10"/>
  <c r="N334" i="10" s="1"/>
  <c r="U622" i="10"/>
  <c r="Q694" i="10"/>
  <c r="T694" i="10" s="1"/>
  <c r="S732" i="10"/>
  <c r="S761" i="10"/>
  <c r="R763" i="10"/>
  <c r="U763" i="10" s="1"/>
  <c r="S764" i="10"/>
  <c r="T764" i="10" s="1"/>
  <c r="K780" i="10"/>
  <c r="L24" i="11"/>
  <c r="M27" i="11"/>
  <c r="P50" i="11"/>
  <c r="P53" i="11"/>
  <c r="P65" i="11"/>
  <c r="P68" i="11"/>
  <c r="R75" i="11"/>
  <c r="R76" i="11"/>
  <c r="U76" i="11" s="1"/>
  <c r="K109" i="11"/>
  <c r="I93" i="11"/>
  <c r="K93" i="11" s="1"/>
  <c r="I139" i="11"/>
  <c r="K139" i="11" s="1"/>
  <c r="M143" i="11"/>
  <c r="P143" i="11" s="1"/>
  <c r="P145" i="11"/>
  <c r="M146" i="11"/>
  <c r="P146" i="11" s="1"/>
  <c r="P148" i="11"/>
  <c r="O284" i="11"/>
  <c r="O309" i="11"/>
  <c r="L307" i="11"/>
  <c r="O307" i="11" s="1"/>
  <c r="L306" i="11"/>
  <c r="S307" i="11"/>
  <c r="T307" i="11" s="1"/>
  <c r="S306" i="11"/>
  <c r="S304" i="11" s="1"/>
  <c r="R307" i="10"/>
  <c r="U307" i="10" s="1"/>
  <c r="J375" i="10"/>
  <c r="Q496" i="10"/>
  <c r="Q494" i="10" s="1"/>
  <c r="T494" i="10" s="1"/>
  <c r="T766" i="10"/>
  <c r="R45" i="11"/>
  <c r="U45" i="11" s="1"/>
  <c r="R60" i="11"/>
  <c r="U60" i="11" s="1"/>
  <c r="S142" i="11"/>
  <c r="S140" i="11" s="1"/>
  <c r="P358" i="11"/>
  <c r="Q269" i="9"/>
  <c r="Q267" i="9" s="1"/>
  <c r="T267" i="9" s="1"/>
  <c r="J675" i="9"/>
  <c r="U78" i="10"/>
  <c r="M285" i="10"/>
  <c r="P285" i="10" s="1"/>
  <c r="S379" i="10"/>
  <c r="K387" i="10"/>
  <c r="T499" i="10"/>
  <c r="L517" i="10"/>
  <c r="O517" i="10" s="1"/>
  <c r="P20" i="11"/>
  <c r="N47" i="11"/>
  <c r="N45" i="11" s="1"/>
  <c r="N62" i="11"/>
  <c r="N60" i="11" s="1"/>
  <c r="U175" i="11"/>
  <c r="S190" i="11"/>
  <c r="T190" i="11" s="1"/>
  <c r="S189" i="11"/>
  <c r="S187" i="11" s="1"/>
  <c r="L234" i="11"/>
  <c r="L255" i="11"/>
  <c r="O255" i="11" s="1"/>
  <c r="N306" i="11"/>
  <c r="N304" i="11" s="1"/>
  <c r="N48" i="11"/>
  <c r="P48" i="11" s="1"/>
  <c r="O50" i="11"/>
  <c r="O65" i="11"/>
  <c r="N75" i="11"/>
  <c r="N73" i="11" s="1"/>
  <c r="I94" i="11"/>
  <c r="K94" i="11" s="1"/>
  <c r="M98" i="11"/>
  <c r="P98" i="11" s="1"/>
  <c r="T141" i="11"/>
  <c r="P159" i="11"/>
  <c r="L180" i="11"/>
  <c r="O180" i="11" s="1"/>
  <c r="O182" i="11"/>
  <c r="L176" i="11"/>
  <c r="M190" i="11"/>
  <c r="P192" i="11"/>
  <c r="M189" i="11"/>
  <c r="L215" i="11"/>
  <c r="O215" i="11" s="1"/>
  <c r="O166" i="10"/>
  <c r="N176" i="10"/>
  <c r="N174" i="10" s="1"/>
  <c r="M189" i="10"/>
  <c r="M187" i="10" s="1"/>
  <c r="I203" i="10"/>
  <c r="K203" i="10" s="1"/>
  <c r="K369" i="10"/>
  <c r="S620" i="10"/>
  <c r="U766" i="10"/>
  <c r="R24" i="11"/>
  <c r="Q25" i="11"/>
  <c r="T25" i="11" s="1"/>
  <c r="L360" i="11"/>
  <c r="O360" i="11" s="1"/>
  <c r="O362" i="11"/>
  <c r="L359" i="11"/>
  <c r="N27" i="11"/>
  <c r="N25" i="11" s="1"/>
  <c r="L161" i="11"/>
  <c r="O161" i="11" s="1"/>
  <c r="R161" i="11"/>
  <c r="U161" i="11" s="1"/>
  <c r="R189" i="11"/>
  <c r="U192" i="11"/>
  <c r="P195" i="11"/>
  <c r="S269" i="11"/>
  <c r="S267" i="11" s="1"/>
  <c r="O272" i="11"/>
  <c r="L273" i="11"/>
  <c r="O273" i="11" s="1"/>
  <c r="Q306" i="11"/>
  <c r="N307" i="11"/>
  <c r="T309" i="11"/>
  <c r="P312" i="11"/>
  <c r="R321" i="11"/>
  <c r="U321" i="11" s="1"/>
  <c r="M336" i="11"/>
  <c r="P339" i="11"/>
  <c r="L363" i="11"/>
  <c r="O363" i="11" s="1"/>
  <c r="K369" i="11"/>
  <c r="T381" i="11"/>
  <c r="S379" i="11"/>
  <c r="S378" i="11"/>
  <c r="U415" i="11"/>
  <c r="L715" i="11"/>
  <c r="O715" i="11" s="1"/>
  <c r="O717" i="11"/>
  <c r="P329" i="11"/>
  <c r="M323" i="11"/>
  <c r="P323" i="11" s="1"/>
  <c r="R357" i="11"/>
  <c r="U357" i="11" s="1"/>
  <c r="I457" i="11"/>
  <c r="K457" i="11" s="1"/>
  <c r="K458" i="11"/>
  <c r="Q514" i="11"/>
  <c r="T514" i="11" s="1"/>
  <c r="T516" i="11"/>
  <c r="T696" i="11"/>
  <c r="Q693" i="11"/>
  <c r="Q694" i="11"/>
  <c r="T694" i="11" s="1"/>
  <c r="I138" i="11"/>
  <c r="K138" i="11" s="1"/>
  <c r="L160" i="11"/>
  <c r="O160" i="11" s="1"/>
  <c r="R160" i="11"/>
  <c r="U160" i="11" s="1"/>
  <c r="N161" i="11"/>
  <c r="T272" i="11"/>
  <c r="Q334" i="11"/>
  <c r="T334" i="11" s="1"/>
  <c r="K345" i="11"/>
  <c r="O415" i="11"/>
  <c r="L414" i="11"/>
  <c r="O414" i="11" s="1"/>
  <c r="P175" i="11"/>
  <c r="T192" i="11"/>
  <c r="P415" i="11"/>
  <c r="M414" i="11"/>
  <c r="P414" i="11" s="1"/>
  <c r="T419" i="11"/>
  <c r="Q416" i="11"/>
  <c r="Q577" i="11"/>
  <c r="T577" i="11" s="1"/>
  <c r="T579" i="11"/>
  <c r="T622" i="11"/>
  <c r="Q619" i="11"/>
  <c r="Q620" i="11"/>
  <c r="T620" i="11" s="1"/>
  <c r="P166" i="11"/>
  <c r="P179" i="11"/>
  <c r="I239" i="11"/>
  <c r="K239" i="11" s="1"/>
  <c r="I254" i="11"/>
  <c r="Q283" i="11"/>
  <c r="T283" i="11" s="1"/>
  <c r="U309" i="11"/>
  <c r="S357" i="11"/>
  <c r="P557" i="11"/>
  <c r="M556" i="11"/>
  <c r="P556" i="11" s="1"/>
  <c r="K387" i="11"/>
  <c r="S414" i="11"/>
  <c r="T495" i="11"/>
  <c r="R577" i="11"/>
  <c r="U577" i="11" s="1"/>
  <c r="U579" i="11"/>
  <c r="U618" i="11"/>
  <c r="U622" i="11"/>
  <c r="R619" i="11"/>
  <c r="R620" i="11"/>
  <c r="U620" i="11" s="1"/>
  <c r="T644" i="11"/>
  <c r="J676" i="11"/>
  <c r="T692" i="11"/>
  <c r="U644" i="11"/>
  <c r="T648" i="11"/>
  <c r="Q645" i="11"/>
  <c r="T645" i="11" s="1"/>
  <c r="Q646" i="11"/>
  <c r="T646" i="11" s="1"/>
  <c r="U692" i="11"/>
  <c r="R691" i="11"/>
  <c r="K704" i="11"/>
  <c r="I702" i="11"/>
  <c r="L761" i="11"/>
  <c r="O761" i="11" s="1"/>
  <c r="O763" i="11"/>
  <c r="M520" i="11"/>
  <c r="P520" i="11" s="1"/>
  <c r="P522" i="11"/>
  <c r="M516" i="11"/>
  <c r="Q535" i="11"/>
  <c r="T535" i="11" s="1"/>
  <c r="T537" i="11"/>
  <c r="U557" i="11"/>
  <c r="R556" i="11"/>
  <c r="U556" i="11" s="1"/>
  <c r="L577" i="11"/>
  <c r="O577" i="11" s="1"/>
  <c r="O579" i="11"/>
  <c r="L600" i="11"/>
  <c r="O600" i="11" s="1"/>
  <c r="Q600" i="11"/>
  <c r="T600" i="11" s="1"/>
  <c r="T602" i="11"/>
  <c r="O618" i="11"/>
  <c r="L617" i="11"/>
  <c r="O617" i="11" s="1"/>
  <c r="M761" i="11"/>
  <c r="P761" i="11" s="1"/>
  <c r="P763" i="11"/>
  <c r="U419" i="11"/>
  <c r="R416" i="11"/>
  <c r="U416" i="11" s="1"/>
  <c r="R417" i="11"/>
  <c r="U417" i="11" s="1"/>
  <c r="L494" i="11"/>
  <c r="O494" i="11" s="1"/>
  <c r="O496" i="11"/>
  <c r="J504" i="11"/>
  <c r="J493" i="11" s="1"/>
  <c r="N520" i="11"/>
  <c r="N516" i="11"/>
  <c r="N514" i="11" s="1"/>
  <c r="R535" i="11"/>
  <c r="U535" i="11" s="1"/>
  <c r="U537" i="11"/>
  <c r="P618" i="11"/>
  <c r="M617" i="11"/>
  <c r="P617" i="11" s="1"/>
  <c r="O644" i="11"/>
  <c r="L643" i="11"/>
  <c r="O643" i="11" s="1"/>
  <c r="O692" i="11"/>
  <c r="L691" i="11"/>
  <c r="O691" i="11" s="1"/>
  <c r="Q715" i="11"/>
  <c r="T715" i="11" s="1"/>
  <c r="T717" i="11"/>
  <c r="L729" i="11"/>
  <c r="O729" i="11" s="1"/>
  <c r="O731" i="11"/>
  <c r="T762" i="11"/>
  <c r="L393" i="11"/>
  <c r="O393" i="11" s="1"/>
  <c r="O395" i="11"/>
  <c r="M494" i="11"/>
  <c r="P494" i="11" s="1"/>
  <c r="P496" i="11"/>
  <c r="K506" i="11"/>
  <c r="O557" i="11"/>
  <c r="L556" i="11"/>
  <c r="O556" i="11" s="1"/>
  <c r="M643" i="11"/>
  <c r="P643" i="11" s="1"/>
  <c r="P645" i="11"/>
  <c r="K690" i="11"/>
  <c r="M691" i="11"/>
  <c r="P691" i="11" s="1"/>
  <c r="P693" i="11"/>
  <c r="R715" i="11"/>
  <c r="U715" i="11" s="1"/>
  <c r="U717" i="11"/>
  <c r="S417" i="11"/>
  <c r="Q497" i="11"/>
  <c r="T497" i="11" s="1"/>
  <c r="Q393" i="11"/>
  <c r="T393" i="11" s="1"/>
  <c r="R494" i="11"/>
  <c r="U494" i="11" s="1"/>
  <c r="S101" i="1"/>
  <c r="S694" i="10"/>
  <c r="S693" i="10"/>
  <c r="S691" i="10" s="1"/>
  <c r="R378" i="2"/>
  <c r="U378" i="2" s="1"/>
  <c r="Q97" i="9"/>
  <c r="Q95" i="9" s="1"/>
  <c r="J676" i="9"/>
  <c r="M66" i="10"/>
  <c r="P66" i="10" s="1"/>
  <c r="P68" i="10"/>
  <c r="K199" i="10"/>
  <c r="S307" i="10"/>
  <c r="S306" i="10"/>
  <c r="S304" i="10" s="1"/>
  <c r="S417" i="10"/>
  <c r="S416" i="10"/>
  <c r="S414" i="10" s="1"/>
  <c r="Q763" i="1"/>
  <c r="T763" i="1" s="1"/>
  <c r="L75" i="10"/>
  <c r="O75" i="10" s="1"/>
  <c r="O81" i="10"/>
  <c r="R97" i="9"/>
  <c r="U97" i="9" s="1"/>
  <c r="I117" i="9"/>
  <c r="K117" i="9" s="1"/>
  <c r="I281" i="9"/>
  <c r="K281" i="9" s="1"/>
  <c r="P519" i="9"/>
  <c r="O53" i="10"/>
  <c r="L51" i="10"/>
  <c r="O51" i="10" s="1"/>
  <c r="N62" i="10"/>
  <c r="N60" i="10" s="1"/>
  <c r="N27" i="10"/>
  <c r="N25" i="10" s="1"/>
  <c r="N66" i="10"/>
  <c r="N160" i="10"/>
  <c r="N158" i="10" s="1"/>
  <c r="L189" i="10"/>
  <c r="L187" i="10" s="1"/>
  <c r="L285" i="10"/>
  <c r="O285" i="10" s="1"/>
  <c r="L286" i="10"/>
  <c r="O286" i="10" s="1"/>
  <c r="K779" i="10"/>
  <c r="K782" i="10"/>
  <c r="U419" i="10"/>
  <c r="R417" i="10"/>
  <c r="U417" i="10" s="1"/>
  <c r="R416" i="10"/>
  <c r="U416" i="10" s="1"/>
  <c r="N62" i="9"/>
  <c r="N60" i="9" s="1"/>
  <c r="M66" i="9"/>
  <c r="P66" i="9" s="1"/>
  <c r="Q98" i="9"/>
  <c r="S176" i="9"/>
  <c r="S174" i="9" s="1"/>
  <c r="M177" i="9"/>
  <c r="P177" i="9" s="1"/>
  <c r="M176" i="9"/>
  <c r="P176" i="9" s="1"/>
  <c r="L234" i="9"/>
  <c r="Q379" i="9"/>
  <c r="T379" i="9" s="1"/>
  <c r="T381" i="9"/>
  <c r="L289" i="10"/>
  <c r="O289" i="10" s="1"/>
  <c r="P309" i="10"/>
  <c r="M307" i="10"/>
  <c r="P307" i="10" s="1"/>
  <c r="N141" i="1"/>
  <c r="O65" i="9"/>
  <c r="R270" i="9"/>
  <c r="R269" i="9"/>
  <c r="U269" i="9" s="1"/>
  <c r="K704" i="9"/>
  <c r="I702" i="9"/>
  <c r="P145" i="10"/>
  <c r="M142" i="10"/>
  <c r="P142" i="10" s="1"/>
  <c r="T272" i="10"/>
  <c r="S270" i="10"/>
  <c r="U270" i="10" s="1"/>
  <c r="P326" i="10"/>
  <c r="M324" i="10"/>
  <c r="P324" i="10" s="1"/>
  <c r="L336" i="10"/>
  <c r="O339" i="10"/>
  <c r="L337" i="10"/>
  <c r="O337" i="10" s="1"/>
  <c r="Q732" i="10"/>
  <c r="Q731" i="10"/>
  <c r="T731" i="10" s="1"/>
  <c r="K153" i="8"/>
  <c r="O145" i="9"/>
  <c r="M146" i="9"/>
  <c r="P146" i="9" s="1"/>
  <c r="Q378" i="9"/>
  <c r="T378" i="9" s="1"/>
  <c r="N76" i="10"/>
  <c r="N75" i="10"/>
  <c r="N73" i="10" s="1"/>
  <c r="I83" i="10"/>
  <c r="K83" i="10" s="1"/>
  <c r="N120" i="10"/>
  <c r="N118" i="10" s="1"/>
  <c r="S269" i="10"/>
  <c r="S267" i="10" s="1"/>
  <c r="T267" i="10" s="1"/>
  <c r="K293" i="10"/>
  <c r="I282" i="10"/>
  <c r="K282" i="10" s="1"/>
  <c r="L306" i="10"/>
  <c r="O306" i="10" s="1"/>
  <c r="N324" i="10"/>
  <c r="N323" i="10"/>
  <c r="N321" i="10" s="1"/>
  <c r="K331" i="10"/>
  <c r="I320" i="10"/>
  <c r="K320" i="10" s="1"/>
  <c r="M337" i="10"/>
  <c r="P337" i="10" s="1"/>
  <c r="P339" i="10"/>
  <c r="S645" i="10"/>
  <c r="S643" i="10" s="1"/>
  <c r="U696" i="10"/>
  <c r="R694" i="10"/>
  <c r="U694" i="10" s="1"/>
  <c r="K708" i="10"/>
  <c r="I690" i="10"/>
  <c r="K690" i="10" s="1"/>
  <c r="U734" i="10"/>
  <c r="R732" i="10"/>
  <c r="K196" i="10"/>
  <c r="L223" i="10"/>
  <c r="O223" i="10" s="1"/>
  <c r="J333" i="10"/>
  <c r="N359" i="10"/>
  <c r="N357" i="10" s="1"/>
  <c r="K366" i="10"/>
  <c r="K785" i="10"/>
  <c r="O65" i="10"/>
  <c r="P63" i="10"/>
  <c r="I93" i="10"/>
  <c r="K93" i="10" s="1"/>
  <c r="L124" i="10"/>
  <c r="O124" i="10" s="1"/>
  <c r="M120" i="10"/>
  <c r="M118" i="10" s="1"/>
  <c r="P118" i="10" s="1"/>
  <c r="I303" i="10"/>
  <c r="K303" i="10" s="1"/>
  <c r="R496" i="10"/>
  <c r="U496" i="10" s="1"/>
  <c r="K781" i="10"/>
  <c r="I493" i="8"/>
  <c r="K493" i="8" s="1"/>
  <c r="L285" i="9"/>
  <c r="O285" i="9" s="1"/>
  <c r="O522" i="9"/>
  <c r="N47" i="10"/>
  <c r="N45" i="10" s="1"/>
  <c r="L79" i="10"/>
  <c r="O79" i="10" s="1"/>
  <c r="R98" i="10"/>
  <c r="U98" i="10" s="1"/>
  <c r="S120" i="10"/>
  <c r="S118" i="10" s="1"/>
  <c r="S177" i="10"/>
  <c r="P195" i="10"/>
  <c r="M193" i="10"/>
  <c r="P193" i="10" s="1"/>
  <c r="K221" i="10"/>
  <c r="I214" i="10"/>
  <c r="K214" i="10" s="1"/>
  <c r="P272" i="10"/>
  <c r="M269" i="10"/>
  <c r="M267" i="10" s="1"/>
  <c r="M270" i="10"/>
  <c r="P270" i="10" s="1"/>
  <c r="S160" i="9"/>
  <c r="S158" i="9" s="1"/>
  <c r="L24" i="10"/>
  <c r="L22" i="10" s="1"/>
  <c r="P53" i="10"/>
  <c r="L63" i="10"/>
  <c r="O63" i="10" s="1"/>
  <c r="M97" i="10"/>
  <c r="S98" i="10"/>
  <c r="T121" i="10"/>
  <c r="P126" i="10"/>
  <c r="M143" i="10"/>
  <c r="P143" i="10" s="1"/>
  <c r="Q176" i="10"/>
  <c r="T176" i="10" s="1"/>
  <c r="N190" i="10"/>
  <c r="P190" i="10" s="1"/>
  <c r="M310" i="10"/>
  <c r="P310" i="10" s="1"/>
  <c r="S496" i="10"/>
  <c r="S494" i="10" s="1"/>
  <c r="S497" i="10"/>
  <c r="M310" i="9"/>
  <c r="P310" i="9" s="1"/>
  <c r="K277" i="10"/>
  <c r="I266" i="10"/>
  <c r="K266" i="10" s="1"/>
  <c r="K345" i="8"/>
  <c r="Q142" i="9"/>
  <c r="T142" i="9" s="1"/>
  <c r="J352" i="9"/>
  <c r="N24" i="10"/>
  <c r="O48" i="10"/>
  <c r="M62" i="10"/>
  <c r="M76" i="10"/>
  <c r="P76" i="10" s="1"/>
  <c r="I94" i="10"/>
  <c r="K94" i="10" s="1"/>
  <c r="U123" i="10"/>
  <c r="I157" i="10"/>
  <c r="K157" i="10" s="1"/>
  <c r="Q161" i="10"/>
  <c r="T161" i="10" s="1"/>
  <c r="O179" i="10"/>
  <c r="L234" i="10"/>
  <c r="L244" i="10"/>
  <c r="O244" i="10" s="1"/>
  <c r="N306" i="10"/>
  <c r="N304" i="10" s="1"/>
  <c r="N307" i="10"/>
  <c r="R24" i="10"/>
  <c r="R21" i="10" s="1"/>
  <c r="R19" i="10" s="1"/>
  <c r="R97" i="10"/>
  <c r="R118" i="10"/>
  <c r="Q143" i="10"/>
  <c r="T143" i="10" s="1"/>
  <c r="S204" i="1"/>
  <c r="R580" i="1"/>
  <c r="U580" i="1" s="1"/>
  <c r="L98" i="9"/>
  <c r="O98" i="9" s="1"/>
  <c r="I157" i="9"/>
  <c r="K157" i="9" s="1"/>
  <c r="K786" i="9"/>
  <c r="L27" i="10"/>
  <c r="M47" i="10"/>
  <c r="M45" i="10" s="1"/>
  <c r="L66" i="10"/>
  <c r="O66" i="10" s="1"/>
  <c r="Q75" i="10"/>
  <c r="P192" i="10"/>
  <c r="M306" i="10"/>
  <c r="J676" i="10"/>
  <c r="O272" i="10"/>
  <c r="U272" i="10"/>
  <c r="P288" i="10"/>
  <c r="U499" i="10"/>
  <c r="K504" i="10"/>
  <c r="L215" i="10"/>
  <c r="O215" i="10" s="1"/>
  <c r="M273" i="10"/>
  <c r="P273" i="10" s="1"/>
  <c r="J675" i="10"/>
  <c r="J703" i="10"/>
  <c r="K775" i="10"/>
  <c r="Q190" i="10"/>
  <c r="T190" i="10" s="1"/>
  <c r="K630" i="10"/>
  <c r="Q645" i="10"/>
  <c r="T645" i="10" s="1"/>
  <c r="Q646" i="10"/>
  <c r="T646" i="10" s="1"/>
  <c r="R646" i="10"/>
  <c r="U646" i="10" s="1"/>
  <c r="T734" i="10"/>
  <c r="N75" i="9"/>
  <c r="N73" i="9" s="1"/>
  <c r="L75" i="9"/>
  <c r="L79" i="9"/>
  <c r="O79" i="9" s="1"/>
  <c r="O103" i="9"/>
  <c r="N142" i="9"/>
  <c r="N140" i="9" s="1"/>
  <c r="Q160" i="9"/>
  <c r="T160" i="9" s="1"/>
  <c r="N269" i="9"/>
  <c r="N267" i="9" s="1"/>
  <c r="K370" i="9"/>
  <c r="J703" i="9"/>
  <c r="K773" i="9"/>
  <c r="K781" i="9"/>
  <c r="P145" i="9"/>
  <c r="S306" i="9"/>
  <c r="S304" i="9" s="1"/>
  <c r="K775" i="9"/>
  <c r="L20" i="10"/>
  <c r="Q269" i="7"/>
  <c r="Q267" i="7" s="1"/>
  <c r="P100" i="9"/>
  <c r="K627" i="9"/>
  <c r="N47" i="9"/>
  <c r="N45" i="9" s="1"/>
  <c r="S120" i="9"/>
  <c r="S118" i="9" s="1"/>
  <c r="N306" i="9"/>
  <c r="N304" i="9" s="1"/>
  <c r="N359" i="9"/>
  <c r="N357" i="9" s="1"/>
  <c r="I616" i="9"/>
  <c r="K616" i="9" s="1"/>
  <c r="N20" i="10"/>
  <c r="M48" i="10"/>
  <c r="P48" i="10" s="1"/>
  <c r="P50" i="10"/>
  <c r="M24" i="10"/>
  <c r="P145" i="8"/>
  <c r="N120" i="9"/>
  <c r="N118" i="9" s="1"/>
  <c r="Q176" i="9"/>
  <c r="T176" i="9" s="1"/>
  <c r="N176" i="9"/>
  <c r="N174" i="9" s="1"/>
  <c r="I214" i="9"/>
  <c r="K214" i="9" s="1"/>
  <c r="S270" i="9"/>
  <c r="U734" i="9"/>
  <c r="Q45" i="10"/>
  <c r="T45" i="10" s="1"/>
  <c r="Q24" i="10"/>
  <c r="L47" i="10"/>
  <c r="P61" i="10"/>
  <c r="L62" i="10"/>
  <c r="S76" i="10"/>
  <c r="P81" i="10"/>
  <c r="I84" i="10"/>
  <c r="N97" i="10"/>
  <c r="N95" i="10" s="1"/>
  <c r="L98" i="10"/>
  <c r="O98" i="10" s="1"/>
  <c r="T100" i="10"/>
  <c r="Q120" i="10"/>
  <c r="N121" i="10"/>
  <c r="L143" i="10"/>
  <c r="O143" i="10" s="1"/>
  <c r="P148" i="10"/>
  <c r="M146" i="10"/>
  <c r="P146" i="10" s="1"/>
  <c r="K155" i="10"/>
  <c r="O163" i="10"/>
  <c r="Q177" i="10"/>
  <c r="T177" i="10" s="1"/>
  <c r="R177" i="10"/>
  <c r="U177" i="10" s="1"/>
  <c r="U179" i="10"/>
  <c r="R176" i="10"/>
  <c r="U176" i="10" s="1"/>
  <c r="O182" i="10"/>
  <c r="U188" i="10"/>
  <c r="O192" i="10"/>
  <c r="U192" i="10"/>
  <c r="L235" i="10"/>
  <c r="N269" i="10"/>
  <c r="M289" i="10"/>
  <c r="P289" i="10" s="1"/>
  <c r="P291" i="10"/>
  <c r="R306" i="10"/>
  <c r="Q321" i="10"/>
  <c r="T321" i="10" s="1"/>
  <c r="J344" i="10"/>
  <c r="Q357" i="10"/>
  <c r="T357" i="10" s="1"/>
  <c r="T159" i="10"/>
  <c r="U268" i="10"/>
  <c r="N285" i="10"/>
  <c r="N283" i="10" s="1"/>
  <c r="N289" i="10"/>
  <c r="K294" i="10"/>
  <c r="I281" i="10"/>
  <c r="K281" i="10" s="1"/>
  <c r="S24" i="10"/>
  <c r="S21" i="10" s="1"/>
  <c r="M27" i="10"/>
  <c r="P27" i="10" s="1"/>
  <c r="K89" i="10"/>
  <c r="Q97" i="10"/>
  <c r="L120" i="10"/>
  <c r="O145" i="10"/>
  <c r="U159" i="10"/>
  <c r="S160" i="10"/>
  <c r="S158" i="10" s="1"/>
  <c r="R161" i="10"/>
  <c r="U161" i="10" s="1"/>
  <c r="U163" i="10"/>
  <c r="R160" i="10"/>
  <c r="U160" i="10" s="1"/>
  <c r="I173" i="10"/>
  <c r="K173" i="10" s="1"/>
  <c r="L176" i="10"/>
  <c r="O176" i="10" s="1"/>
  <c r="P179" i="10"/>
  <c r="M177" i="10"/>
  <c r="P177" i="10" s="1"/>
  <c r="R189" i="10"/>
  <c r="U189" i="10" s="1"/>
  <c r="L204" i="10"/>
  <c r="O204" i="10" s="1"/>
  <c r="L273" i="10"/>
  <c r="O273" i="10" s="1"/>
  <c r="O329" i="10"/>
  <c r="L323" i="10"/>
  <c r="U335" i="10"/>
  <c r="R334" i="10"/>
  <c r="U334" i="10" s="1"/>
  <c r="J352" i="10"/>
  <c r="U358" i="10"/>
  <c r="R357" i="10"/>
  <c r="U357" i="10" s="1"/>
  <c r="T378" i="10"/>
  <c r="Q376" i="10"/>
  <c r="T376" i="10" s="1"/>
  <c r="K441" i="10"/>
  <c r="I424" i="10"/>
  <c r="Q60" i="10"/>
  <c r="T60" i="10" s="1"/>
  <c r="M75" i="10"/>
  <c r="K250" i="10"/>
  <c r="I243" i="10"/>
  <c r="I239" i="10"/>
  <c r="K239" i="10" s="1"/>
  <c r="P329" i="10"/>
  <c r="M327" i="10"/>
  <c r="P327" i="10" s="1"/>
  <c r="L376" i="10"/>
  <c r="O376" i="10" s="1"/>
  <c r="N376" i="10"/>
  <c r="P65" i="10"/>
  <c r="Q76" i="10"/>
  <c r="T76" i="10" s="1"/>
  <c r="L97" i="10"/>
  <c r="L121" i="10"/>
  <c r="O121" i="10" s="1"/>
  <c r="T123" i="10"/>
  <c r="P141" i="10"/>
  <c r="T141" i="10"/>
  <c r="Q142" i="10"/>
  <c r="T142" i="10" s="1"/>
  <c r="U145" i="10"/>
  <c r="R142" i="10"/>
  <c r="R143" i="10"/>
  <c r="U143" i="10" s="1"/>
  <c r="P159" i="10"/>
  <c r="L160" i="10"/>
  <c r="O160" i="10" s="1"/>
  <c r="P163" i="10"/>
  <c r="M160" i="10"/>
  <c r="P160" i="10" s="1"/>
  <c r="T175" i="10"/>
  <c r="L255" i="10"/>
  <c r="O255" i="10" s="1"/>
  <c r="L269" i="10"/>
  <c r="T284" i="10"/>
  <c r="O309" i="10"/>
  <c r="M323" i="10"/>
  <c r="L360" i="10"/>
  <c r="O360" i="10" s="1"/>
  <c r="O362" i="10"/>
  <c r="K372" i="10"/>
  <c r="L340" i="10"/>
  <c r="O340" i="10" s="1"/>
  <c r="O342" i="10"/>
  <c r="K345" i="10"/>
  <c r="I333" i="10"/>
  <c r="M360" i="10"/>
  <c r="P360" i="10" s="1"/>
  <c r="P362" i="10"/>
  <c r="M359" i="10"/>
  <c r="U381" i="10"/>
  <c r="R378" i="10"/>
  <c r="U415" i="10"/>
  <c r="T644" i="10"/>
  <c r="I375" i="10"/>
  <c r="N233" i="10"/>
  <c r="M340" i="10"/>
  <c r="P340" i="10" s="1"/>
  <c r="M336" i="10"/>
  <c r="O358" i="10"/>
  <c r="T381" i="10"/>
  <c r="Q379" i="10"/>
  <c r="J504" i="10"/>
  <c r="J493" i="10" s="1"/>
  <c r="K506" i="10"/>
  <c r="M520" i="10"/>
  <c r="P520" i="10" s="1"/>
  <c r="P522" i="10"/>
  <c r="M516" i="10"/>
  <c r="P516" i="10" s="1"/>
  <c r="O557" i="10"/>
  <c r="L556" i="10"/>
  <c r="O556" i="10" s="1"/>
  <c r="O618" i="10"/>
  <c r="L617" i="10"/>
  <c r="O617" i="10" s="1"/>
  <c r="K727" i="10"/>
  <c r="Q393" i="10"/>
  <c r="T393" i="10" s="1"/>
  <c r="N414" i="10"/>
  <c r="N617" i="10"/>
  <c r="T622" i="10"/>
  <c r="Q619" i="10"/>
  <c r="T619" i="10" s="1"/>
  <c r="Q620" i="10"/>
  <c r="K706" i="10"/>
  <c r="I702" i="10"/>
  <c r="K702" i="10" s="1"/>
  <c r="T419" i="10"/>
  <c r="Q416" i="10"/>
  <c r="T416" i="10" s="1"/>
  <c r="Q417" i="10"/>
  <c r="T417" i="10" s="1"/>
  <c r="U557" i="10"/>
  <c r="R556" i="10"/>
  <c r="U556" i="10" s="1"/>
  <c r="Q577" i="10"/>
  <c r="T577" i="10" s="1"/>
  <c r="U618" i="10"/>
  <c r="R617" i="10"/>
  <c r="S617" i="10"/>
  <c r="U619" i="10"/>
  <c r="T692" i="10"/>
  <c r="Q556" i="10"/>
  <c r="T556" i="10" s="1"/>
  <c r="K627" i="10"/>
  <c r="K631" i="10"/>
  <c r="R731" i="10"/>
  <c r="U731" i="10" s="1"/>
  <c r="L516" i="10"/>
  <c r="O522" i="10"/>
  <c r="P558" i="10"/>
  <c r="Q600" i="10"/>
  <c r="T600" i="10" s="1"/>
  <c r="M643" i="10"/>
  <c r="P643" i="10" s="1"/>
  <c r="M691" i="10"/>
  <c r="P691" i="10" s="1"/>
  <c r="Q715" i="10"/>
  <c r="T715" i="10" s="1"/>
  <c r="I759" i="10"/>
  <c r="K759" i="10" s="1"/>
  <c r="L761" i="10"/>
  <c r="O761" i="10" s="1"/>
  <c r="R645" i="10"/>
  <c r="R693" i="10"/>
  <c r="Q763" i="10"/>
  <c r="R306" i="1"/>
  <c r="M66" i="5"/>
  <c r="P66" i="5" s="1"/>
  <c r="N75" i="8"/>
  <c r="N73" i="8" s="1"/>
  <c r="L76" i="9"/>
  <c r="O76" i="9" s="1"/>
  <c r="R143" i="9"/>
  <c r="U143" i="9" s="1"/>
  <c r="K293" i="9"/>
  <c r="I303" i="9"/>
  <c r="K303" i="9" s="1"/>
  <c r="I320" i="9"/>
  <c r="K320" i="9" s="1"/>
  <c r="N323" i="9"/>
  <c r="N321" i="9" s="1"/>
  <c r="L340" i="9"/>
  <c r="O340" i="9" s="1"/>
  <c r="K372" i="9"/>
  <c r="R731" i="9"/>
  <c r="R729" i="9" s="1"/>
  <c r="U729" i="9" s="1"/>
  <c r="M76" i="5"/>
  <c r="P76" i="5" s="1"/>
  <c r="R160" i="7"/>
  <c r="U160" i="7" s="1"/>
  <c r="M273" i="7"/>
  <c r="P273" i="7" s="1"/>
  <c r="L97" i="9"/>
  <c r="O97" i="9" s="1"/>
  <c r="K109" i="9"/>
  <c r="T121" i="9"/>
  <c r="I139" i="9"/>
  <c r="K139" i="9" s="1"/>
  <c r="M142" i="9"/>
  <c r="M140" i="9" s="1"/>
  <c r="K155" i="9"/>
  <c r="I254" i="9"/>
  <c r="K254" i="9" s="1"/>
  <c r="L336" i="9"/>
  <c r="L334" i="9" s="1"/>
  <c r="I493" i="9"/>
  <c r="K493" i="9" s="1"/>
  <c r="R496" i="9"/>
  <c r="U496" i="9" s="1"/>
  <c r="K727" i="9"/>
  <c r="S763" i="9"/>
  <c r="S761" i="9" s="1"/>
  <c r="K781" i="5"/>
  <c r="M306" i="7"/>
  <c r="P306" i="7" s="1"/>
  <c r="M101" i="8"/>
  <c r="P101" i="8" s="1"/>
  <c r="J375" i="8"/>
  <c r="S693" i="8"/>
  <c r="S691" i="8" s="1"/>
  <c r="L47" i="9"/>
  <c r="L45" i="9" s="1"/>
  <c r="Q24" i="9"/>
  <c r="Q21" i="9" s="1"/>
  <c r="Q19" i="9" s="1"/>
  <c r="Q120" i="9"/>
  <c r="M189" i="9"/>
  <c r="L237" i="9"/>
  <c r="U272" i="9"/>
  <c r="N307" i="9"/>
  <c r="P307" i="9" s="1"/>
  <c r="J366" i="9"/>
  <c r="K366" i="9" s="1"/>
  <c r="S497" i="9"/>
  <c r="L176" i="9"/>
  <c r="O176" i="9" s="1"/>
  <c r="I203" i="9"/>
  <c r="K203" i="9" s="1"/>
  <c r="I93" i="8"/>
  <c r="K93" i="8" s="1"/>
  <c r="L142" i="8"/>
  <c r="O142" i="8" s="1"/>
  <c r="I173" i="8"/>
  <c r="K173" i="8" s="1"/>
  <c r="Q306" i="8"/>
  <c r="Q304" i="8" s="1"/>
  <c r="L51" i="9"/>
  <c r="O51" i="9" s="1"/>
  <c r="R142" i="9"/>
  <c r="U142" i="9" s="1"/>
  <c r="N190" i="9"/>
  <c r="P190" i="9" s="1"/>
  <c r="L273" i="9"/>
  <c r="O273" i="9" s="1"/>
  <c r="P337" i="9"/>
  <c r="J333" i="9"/>
  <c r="K333" i="9" s="1"/>
  <c r="L363" i="9"/>
  <c r="O363" i="9" s="1"/>
  <c r="I375" i="9"/>
  <c r="K375" i="9" s="1"/>
  <c r="L517" i="9"/>
  <c r="O517" i="9" s="1"/>
  <c r="T694" i="9"/>
  <c r="T734" i="9"/>
  <c r="K782" i="9"/>
  <c r="K785" i="9"/>
  <c r="M270" i="9"/>
  <c r="P270" i="9" s="1"/>
  <c r="P272" i="9"/>
  <c r="M269" i="9"/>
  <c r="K250" i="8"/>
  <c r="N269" i="8"/>
  <c r="N267" i="8" s="1"/>
  <c r="K294" i="8"/>
  <c r="K372" i="8"/>
  <c r="U766" i="8"/>
  <c r="K785" i="8"/>
  <c r="R75" i="9"/>
  <c r="R73" i="9" s="1"/>
  <c r="U100" i="9"/>
  <c r="N121" i="9"/>
  <c r="S143" i="9"/>
  <c r="L146" i="9"/>
  <c r="O146" i="9" s="1"/>
  <c r="U192" i="9"/>
  <c r="I239" i="9"/>
  <c r="K239" i="9" s="1"/>
  <c r="K347" i="9"/>
  <c r="S646" i="9"/>
  <c r="S645" i="9"/>
  <c r="S643" i="9" s="1"/>
  <c r="I139" i="6"/>
  <c r="K139" i="6" s="1"/>
  <c r="S142" i="7"/>
  <c r="S140" i="7" s="1"/>
  <c r="I759" i="7"/>
  <c r="K759" i="7" s="1"/>
  <c r="I333" i="8"/>
  <c r="N51" i="9"/>
  <c r="K277" i="9"/>
  <c r="I266" i="9"/>
  <c r="K266" i="9" s="1"/>
  <c r="M285" i="9"/>
  <c r="P291" i="9"/>
  <c r="M289" i="9"/>
  <c r="P289" i="9" s="1"/>
  <c r="O63" i="8"/>
  <c r="N160" i="8"/>
  <c r="N158" i="8" s="1"/>
  <c r="T179" i="8"/>
  <c r="O182" i="8"/>
  <c r="L236" i="8"/>
  <c r="L27" i="9"/>
  <c r="O27" i="9" s="1"/>
  <c r="O68" i="9"/>
  <c r="L66" i="9"/>
  <c r="O66" i="9" s="1"/>
  <c r="Q76" i="9"/>
  <c r="S95" i="9"/>
  <c r="M101" i="9"/>
  <c r="P101" i="9" s="1"/>
  <c r="M120" i="9"/>
  <c r="P120" i="9" s="1"/>
  <c r="Q189" i="9"/>
  <c r="R190" i="9"/>
  <c r="O192" i="9"/>
  <c r="L190" i="9"/>
  <c r="L193" i="9"/>
  <c r="O193" i="9" s="1"/>
  <c r="P195" i="9"/>
  <c r="L307" i="9"/>
  <c r="L306" i="9"/>
  <c r="P360" i="7"/>
  <c r="P148" i="8"/>
  <c r="Q177" i="8"/>
  <c r="T177" i="8" s="1"/>
  <c r="P272" i="8"/>
  <c r="Q497" i="8"/>
  <c r="T497" i="8" s="1"/>
  <c r="L62" i="9"/>
  <c r="L63" i="9"/>
  <c r="O63" i="9" s="1"/>
  <c r="L120" i="9"/>
  <c r="O120" i="9" s="1"/>
  <c r="I138" i="9"/>
  <c r="K138" i="9" s="1"/>
  <c r="L142" i="9"/>
  <c r="L143" i="9"/>
  <c r="O143" i="9" s="1"/>
  <c r="Q161" i="9"/>
  <c r="T161" i="9" s="1"/>
  <c r="Q177" i="9"/>
  <c r="T177" i="9" s="1"/>
  <c r="R189" i="9"/>
  <c r="S190" i="9"/>
  <c r="T190" i="9" s="1"/>
  <c r="P192" i="9"/>
  <c r="I222" i="9"/>
  <c r="K222" i="9" s="1"/>
  <c r="P275" i="9"/>
  <c r="M273" i="9"/>
  <c r="P273" i="9" s="1"/>
  <c r="P326" i="9"/>
  <c r="M324" i="9"/>
  <c r="P324" i="9" s="1"/>
  <c r="M323" i="9"/>
  <c r="P323" i="9" s="1"/>
  <c r="P339" i="9"/>
  <c r="R764" i="9"/>
  <c r="U764" i="9" s="1"/>
  <c r="R763" i="9"/>
  <c r="R761" i="9" s="1"/>
  <c r="U766" i="9"/>
  <c r="I94" i="7"/>
  <c r="K94" i="7" s="1"/>
  <c r="K779" i="7"/>
  <c r="K782" i="7"/>
  <c r="K785" i="7"/>
  <c r="L516" i="8"/>
  <c r="O516" i="8" s="1"/>
  <c r="R24" i="9"/>
  <c r="R21" i="9" s="1"/>
  <c r="R19" i="9" s="1"/>
  <c r="P53" i="9"/>
  <c r="M51" i="9"/>
  <c r="P51" i="9" s="1"/>
  <c r="M97" i="9"/>
  <c r="P97" i="9" s="1"/>
  <c r="P143" i="9"/>
  <c r="N160" i="9"/>
  <c r="N158" i="9" s="1"/>
  <c r="M161" i="9"/>
  <c r="P161" i="9" s="1"/>
  <c r="M160" i="9"/>
  <c r="P160" i="9" s="1"/>
  <c r="L189" i="9"/>
  <c r="L215" i="9"/>
  <c r="O215" i="9" s="1"/>
  <c r="O272" i="9"/>
  <c r="L270" i="9"/>
  <c r="O270" i="9" s="1"/>
  <c r="L269" i="9"/>
  <c r="M359" i="9"/>
  <c r="P365" i="9"/>
  <c r="M363" i="9"/>
  <c r="P363" i="9" s="1"/>
  <c r="O48" i="9"/>
  <c r="S187" i="9"/>
  <c r="L204" i="9"/>
  <c r="O204" i="9" s="1"/>
  <c r="L223" i="9"/>
  <c r="O223" i="9" s="1"/>
  <c r="L255" i="9"/>
  <c r="O255" i="9" s="1"/>
  <c r="L289" i="9"/>
  <c r="O289" i="9" s="1"/>
  <c r="P309" i="9"/>
  <c r="L324" i="9"/>
  <c r="O324" i="9" s="1"/>
  <c r="S693" i="9"/>
  <c r="S691" i="9" s="1"/>
  <c r="S732" i="9"/>
  <c r="U732" i="9" s="1"/>
  <c r="J344" i="9"/>
  <c r="R306" i="9"/>
  <c r="K345" i="9"/>
  <c r="O360" i="9"/>
  <c r="K369" i="9"/>
  <c r="J504" i="9"/>
  <c r="J493" i="9" s="1"/>
  <c r="K630" i="9"/>
  <c r="U307" i="9"/>
  <c r="O339" i="9"/>
  <c r="K631" i="9"/>
  <c r="L337" i="9"/>
  <c r="O337" i="9" s="1"/>
  <c r="K632" i="9"/>
  <c r="K706" i="9"/>
  <c r="T46" i="9"/>
  <c r="Q45" i="9"/>
  <c r="T45" i="9" s="1"/>
  <c r="T61" i="9"/>
  <c r="Q60" i="9"/>
  <c r="T60" i="9" s="1"/>
  <c r="L161" i="9"/>
  <c r="O161" i="9" s="1"/>
  <c r="O163" i="9"/>
  <c r="Q764" i="5"/>
  <c r="T764" i="5" s="1"/>
  <c r="Q76" i="7"/>
  <c r="T76" i="7" s="1"/>
  <c r="K441" i="7"/>
  <c r="Q75" i="8"/>
  <c r="T75" i="8" s="1"/>
  <c r="I157" i="8"/>
  <c r="K157" i="8" s="1"/>
  <c r="P291" i="8"/>
  <c r="O342" i="8"/>
  <c r="O362" i="8"/>
  <c r="Q763" i="8"/>
  <c r="Q761" i="8" s="1"/>
  <c r="T761" i="8" s="1"/>
  <c r="T74" i="9"/>
  <c r="Q73" i="9"/>
  <c r="N98" i="9"/>
  <c r="N24" i="9"/>
  <c r="R177" i="9"/>
  <c r="U177" i="9" s="1"/>
  <c r="U179" i="9"/>
  <c r="T358" i="9"/>
  <c r="Q357" i="9"/>
  <c r="T357" i="9" s="1"/>
  <c r="M79" i="9"/>
  <c r="P79" i="9" s="1"/>
  <c r="P81" i="9"/>
  <c r="M27" i="9"/>
  <c r="U96" i="9"/>
  <c r="L124" i="9"/>
  <c r="O124" i="9" s="1"/>
  <c r="O126" i="9"/>
  <c r="P50" i="7"/>
  <c r="R76" i="7"/>
  <c r="U76" i="7" s="1"/>
  <c r="N47" i="8"/>
  <c r="N45" i="8" s="1"/>
  <c r="Q76" i="8"/>
  <c r="T76" i="8" s="1"/>
  <c r="P342" i="8"/>
  <c r="N359" i="8"/>
  <c r="N357" i="8" s="1"/>
  <c r="P362" i="8"/>
  <c r="U419" i="8"/>
  <c r="M76" i="9"/>
  <c r="P76" i="9" s="1"/>
  <c r="P78" i="9"/>
  <c r="O96" i="9"/>
  <c r="L121" i="9"/>
  <c r="O121" i="9" s="1"/>
  <c r="O123" i="9"/>
  <c r="L180" i="9"/>
  <c r="O180" i="9" s="1"/>
  <c r="O182" i="9"/>
  <c r="S76" i="9"/>
  <c r="U76" i="9" s="1"/>
  <c r="U78" i="9"/>
  <c r="T78" i="9"/>
  <c r="S24" i="9"/>
  <c r="R121" i="9"/>
  <c r="U121" i="9" s="1"/>
  <c r="U123" i="9"/>
  <c r="U381" i="9"/>
  <c r="R378" i="9"/>
  <c r="R379" i="9"/>
  <c r="U379" i="9" s="1"/>
  <c r="K779" i="6"/>
  <c r="K782" i="6"/>
  <c r="K785" i="6"/>
  <c r="R189" i="7"/>
  <c r="R187" i="7" s="1"/>
  <c r="K773" i="8"/>
  <c r="R25" i="9"/>
  <c r="U25" i="9" s="1"/>
  <c r="M63" i="9"/>
  <c r="P63" i="9" s="1"/>
  <c r="P65" i="9"/>
  <c r="S75" i="9"/>
  <c r="S73" i="9" s="1"/>
  <c r="N101" i="9"/>
  <c r="N27" i="9"/>
  <c r="N25" i="9" s="1"/>
  <c r="L177" i="9"/>
  <c r="O177" i="9" s="1"/>
  <c r="O179" i="9"/>
  <c r="P188" i="9"/>
  <c r="I616" i="8"/>
  <c r="O23" i="9"/>
  <c r="L24" i="9"/>
  <c r="M45" i="9"/>
  <c r="M48" i="9"/>
  <c r="P48" i="9" s="1"/>
  <c r="P50" i="9"/>
  <c r="M24" i="9"/>
  <c r="M62" i="9"/>
  <c r="L160" i="9"/>
  <c r="O160" i="9" s="1"/>
  <c r="R161" i="9"/>
  <c r="U161" i="9" s="1"/>
  <c r="U163" i="9"/>
  <c r="L577" i="9"/>
  <c r="O577" i="9" s="1"/>
  <c r="O579" i="9"/>
  <c r="M101" i="7"/>
  <c r="P101" i="7" s="1"/>
  <c r="I84" i="8"/>
  <c r="K84" i="8" s="1"/>
  <c r="I282" i="8"/>
  <c r="K282" i="8" s="1"/>
  <c r="K633" i="8"/>
  <c r="T734" i="8"/>
  <c r="L20" i="9"/>
  <c r="M75" i="9"/>
  <c r="I83" i="9"/>
  <c r="N97" i="9"/>
  <c r="N95" i="9" s="1"/>
  <c r="R120" i="9"/>
  <c r="L164" i="9"/>
  <c r="O164" i="9" s="1"/>
  <c r="O166" i="9"/>
  <c r="R176" i="9"/>
  <c r="U176" i="9" s="1"/>
  <c r="L236" i="9"/>
  <c r="L244" i="9"/>
  <c r="P322" i="9"/>
  <c r="L327" i="9"/>
  <c r="O327" i="9" s="1"/>
  <c r="O329" i="9"/>
  <c r="L323" i="9"/>
  <c r="M340" i="9"/>
  <c r="P340" i="9" s="1"/>
  <c r="P342" i="9"/>
  <c r="M336" i="9"/>
  <c r="T648" i="9"/>
  <c r="Q645" i="9"/>
  <c r="T645" i="9" s="1"/>
  <c r="Q646" i="9"/>
  <c r="T646" i="9" s="1"/>
  <c r="O50" i="9"/>
  <c r="O78" i="9"/>
  <c r="K110" i="9"/>
  <c r="T123" i="9"/>
  <c r="S357" i="9"/>
  <c r="P394" i="9"/>
  <c r="M393" i="9"/>
  <c r="P393" i="9" s="1"/>
  <c r="Q25" i="9"/>
  <c r="T25" i="9" s="1"/>
  <c r="R45" i="9"/>
  <c r="U45" i="9" s="1"/>
  <c r="R60" i="9"/>
  <c r="U60" i="9" s="1"/>
  <c r="I84" i="9"/>
  <c r="N289" i="9"/>
  <c r="N285" i="9"/>
  <c r="N283" i="9" s="1"/>
  <c r="M360" i="9"/>
  <c r="P360" i="9" s="1"/>
  <c r="P362" i="9"/>
  <c r="S376" i="9"/>
  <c r="U495" i="9"/>
  <c r="O618" i="9"/>
  <c r="L617" i="9"/>
  <c r="O617" i="9" s="1"/>
  <c r="T762" i="9"/>
  <c r="P123" i="9"/>
  <c r="P126" i="9"/>
  <c r="T145" i="9"/>
  <c r="R158" i="9"/>
  <c r="U158" i="9" s="1"/>
  <c r="P163" i="9"/>
  <c r="P166" i="9"/>
  <c r="P179" i="9"/>
  <c r="P182" i="9"/>
  <c r="P377" i="9"/>
  <c r="M376" i="9"/>
  <c r="P376" i="9" s="1"/>
  <c r="U557" i="9"/>
  <c r="R556" i="9"/>
  <c r="U556" i="9" s="1"/>
  <c r="R715" i="9"/>
  <c r="U715" i="9" s="1"/>
  <c r="U717" i="9"/>
  <c r="Q307" i="9"/>
  <c r="T307" i="9" s="1"/>
  <c r="T309" i="9"/>
  <c r="T419" i="9"/>
  <c r="Q416" i="9"/>
  <c r="T416" i="9" s="1"/>
  <c r="Q417" i="9"/>
  <c r="T417" i="9" s="1"/>
  <c r="T644" i="9"/>
  <c r="U419" i="9"/>
  <c r="R416" i="9"/>
  <c r="U416" i="9" s="1"/>
  <c r="O495" i="9"/>
  <c r="L494" i="9"/>
  <c r="O494" i="9" s="1"/>
  <c r="Q514" i="9"/>
  <c r="T514" i="9" s="1"/>
  <c r="T516" i="9"/>
  <c r="R535" i="9"/>
  <c r="U535" i="9" s="1"/>
  <c r="U537" i="9"/>
  <c r="L600" i="9"/>
  <c r="O600" i="9" s="1"/>
  <c r="O602" i="9"/>
  <c r="P618" i="9"/>
  <c r="M617" i="9"/>
  <c r="P617" i="9" s="1"/>
  <c r="U644" i="9"/>
  <c r="U648" i="9"/>
  <c r="R645" i="9"/>
  <c r="U645" i="9" s="1"/>
  <c r="R646" i="9"/>
  <c r="U646" i="9" s="1"/>
  <c r="O692" i="9"/>
  <c r="L691" i="9"/>
  <c r="O691" i="9" s="1"/>
  <c r="U762" i="9"/>
  <c r="O362" i="9"/>
  <c r="S379" i="9"/>
  <c r="S416" i="9"/>
  <c r="S414" i="9" s="1"/>
  <c r="S417" i="9"/>
  <c r="I424" i="9"/>
  <c r="K441" i="9"/>
  <c r="T578" i="9"/>
  <c r="Q577" i="9"/>
  <c r="T577" i="9" s="1"/>
  <c r="T622" i="9"/>
  <c r="Q619" i="9"/>
  <c r="P692" i="9"/>
  <c r="M691" i="9"/>
  <c r="P691" i="9" s="1"/>
  <c r="L715" i="9"/>
  <c r="O715" i="9" s="1"/>
  <c r="O717" i="9"/>
  <c r="L729" i="9"/>
  <c r="O729" i="9" s="1"/>
  <c r="O731" i="9"/>
  <c r="O762" i="9"/>
  <c r="L761" i="9"/>
  <c r="O761" i="9" s="1"/>
  <c r="I243" i="9"/>
  <c r="R357" i="9"/>
  <c r="U357" i="9" s="1"/>
  <c r="I457" i="9"/>
  <c r="K457" i="9" s="1"/>
  <c r="K458" i="9"/>
  <c r="M494" i="9"/>
  <c r="P494" i="9" s="1"/>
  <c r="P496" i="9"/>
  <c r="M520" i="9"/>
  <c r="P520" i="9" s="1"/>
  <c r="P522" i="9"/>
  <c r="M516" i="9"/>
  <c r="L535" i="9"/>
  <c r="O535" i="9" s="1"/>
  <c r="O537" i="9"/>
  <c r="P557" i="9"/>
  <c r="M556" i="9"/>
  <c r="P556" i="9" s="1"/>
  <c r="M577" i="9"/>
  <c r="P577" i="9" s="1"/>
  <c r="T601" i="9"/>
  <c r="Q600" i="9"/>
  <c r="T600" i="9" s="1"/>
  <c r="U622" i="9"/>
  <c r="R619" i="9"/>
  <c r="O644" i="9"/>
  <c r="L643" i="9"/>
  <c r="O643" i="9" s="1"/>
  <c r="J702" i="9"/>
  <c r="T192" i="9"/>
  <c r="T272" i="9"/>
  <c r="Q283" i="9"/>
  <c r="T283" i="9" s="1"/>
  <c r="O288" i="9"/>
  <c r="Q304" i="9"/>
  <c r="O309" i="9"/>
  <c r="U309" i="9"/>
  <c r="O312" i="9"/>
  <c r="P329" i="9"/>
  <c r="N336" i="9"/>
  <c r="N334" i="9" s="1"/>
  <c r="L414" i="9"/>
  <c r="O414" i="9" s="1"/>
  <c r="R514" i="9"/>
  <c r="U514" i="9" s="1"/>
  <c r="N520" i="9"/>
  <c r="N516" i="9"/>
  <c r="N514" i="9" s="1"/>
  <c r="L556" i="9"/>
  <c r="O556" i="9" s="1"/>
  <c r="N556" i="9"/>
  <c r="R577" i="9"/>
  <c r="U577" i="9" s="1"/>
  <c r="U579" i="9"/>
  <c r="M600" i="9"/>
  <c r="P600" i="9" s="1"/>
  <c r="S619" i="9"/>
  <c r="S617" i="9" s="1"/>
  <c r="S620" i="9"/>
  <c r="U620" i="9" s="1"/>
  <c r="P644" i="9"/>
  <c r="M643" i="9"/>
  <c r="P643" i="9" s="1"/>
  <c r="T696" i="9"/>
  <c r="Q693" i="9"/>
  <c r="T716" i="9"/>
  <c r="Q715" i="9"/>
  <c r="T715" i="9" s="1"/>
  <c r="T730" i="9"/>
  <c r="M761" i="9"/>
  <c r="P761" i="9" s="1"/>
  <c r="P763" i="9"/>
  <c r="L359" i="9"/>
  <c r="R417" i="9"/>
  <c r="U417" i="9" s="1"/>
  <c r="T495" i="9"/>
  <c r="T499" i="9"/>
  <c r="Q496" i="9"/>
  <c r="T496" i="9" s="1"/>
  <c r="Q497" i="9"/>
  <c r="T497" i="9" s="1"/>
  <c r="L516" i="9"/>
  <c r="T536" i="9"/>
  <c r="Q535" i="9"/>
  <c r="T535" i="9" s="1"/>
  <c r="R600" i="9"/>
  <c r="U600" i="9" s="1"/>
  <c r="U602" i="9"/>
  <c r="U692" i="9"/>
  <c r="U696" i="9"/>
  <c r="R693" i="9"/>
  <c r="R694" i="9"/>
  <c r="U694" i="9" s="1"/>
  <c r="M715" i="9"/>
  <c r="P715" i="9" s="1"/>
  <c r="M729" i="9"/>
  <c r="P729" i="9" s="1"/>
  <c r="T766" i="9"/>
  <c r="Q763" i="9"/>
  <c r="Q764" i="9"/>
  <c r="T764" i="9" s="1"/>
  <c r="K780" i="9"/>
  <c r="O519" i="5"/>
  <c r="L517" i="5"/>
  <c r="O517" i="5" s="1"/>
  <c r="P145" i="7"/>
  <c r="M142" i="7"/>
  <c r="P142" i="7" s="1"/>
  <c r="L310" i="8"/>
  <c r="O310" i="8" s="1"/>
  <c r="L306" i="8"/>
  <c r="O306" i="8" s="1"/>
  <c r="R337" i="1"/>
  <c r="U337" i="1" s="1"/>
  <c r="K155" i="5"/>
  <c r="I137" i="5"/>
  <c r="K137" i="5" s="1"/>
  <c r="U78" i="8"/>
  <c r="R76" i="8"/>
  <c r="U76" i="8" s="1"/>
  <c r="R75" i="8"/>
  <c r="S97" i="8"/>
  <c r="S95" i="8" s="1"/>
  <c r="T95" i="8" s="1"/>
  <c r="S98" i="8"/>
  <c r="U98" i="8" s="1"/>
  <c r="N143" i="8"/>
  <c r="N142" i="8"/>
  <c r="N140" i="8" s="1"/>
  <c r="R307" i="8"/>
  <c r="U307" i="8" s="1"/>
  <c r="R306" i="8"/>
  <c r="R304" i="8" s="1"/>
  <c r="N176" i="7"/>
  <c r="N174" i="7" s="1"/>
  <c r="L27" i="8"/>
  <c r="O27" i="8" s="1"/>
  <c r="L76" i="8"/>
  <c r="O76" i="8" s="1"/>
  <c r="O78" i="8"/>
  <c r="L75" i="8"/>
  <c r="R379" i="8"/>
  <c r="U379" i="8" s="1"/>
  <c r="R378" i="8"/>
  <c r="R376" i="8" s="1"/>
  <c r="U376" i="8" s="1"/>
  <c r="I690" i="8"/>
  <c r="K690" i="8" s="1"/>
  <c r="K708" i="8"/>
  <c r="S417" i="8"/>
  <c r="S416" i="8"/>
  <c r="S414" i="8" s="1"/>
  <c r="S645" i="8"/>
  <c r="S643" i="8" s="1"/>
  <c r="S646" i="8"/>
  <c r="N767" i="1"/>
  <c r="P177" i="8"/>
  <c r="L98" i="6"/>
  <c r="O98" i="6" s="1"/>
  <c r="L236" i="7"/>
  <c r="N189" i="8"/>
  <c r="N187" i="8" s="1"/>
  <c r="K221" i="8"/>
  <c r="S306" i="8"/>
  <c r="S304" i="8" s="1"/>
  <c r="T309" i="8"/>
  <c r="Q693" i="8"/>
  <c r="T693" i="8" s="1"/>
  <c r="M142" i="1"/>
  <c r="S120" i="4"/>
  <c r="S118" i="4" s="1"/>
  <c r="R120" i="7"/>
  <c r="R118" i="7" s="1"/>
  <c r="M124" i="7"/>
  <c r="P124" i="7" s="1"/>
  <c r="Q142" i="7"/>
  <c r="T142" i="7" s="1"/>
  <c r="R176" i="7"/>
  <c r="U176" i="7" s="1"/>
  <c r="T307" i="7"/>
  <c r="I690" i="7"/>
  <c r="K690" i="7" s="1"/>
  <c r="O50" i="8"/>
  <c r="M75" i="8"/>
  <c r="P75" i="8" s="1"/>
  <c r="M97" i="8"/>
  <c r="P100" i="8"/>
  <c r="N176" i="8"/>
  <c r="N174" i="8" s="1"/>
  <c r="Q189" i="8"/>
  <c r="T189" i="8" s="1"/>
  <c r="M306" i="8"/>
  <c r="P306" i="8" s="1"/>
  <c r="M324" i="8"/>
  <c r="P324" i="8" s="1"/>
  <c r="I375" i="8"/>
  <c r="R693" i="8"/>
  <c r="U693" i="8" s="1"/>
  <c r="I93" i="7"/>
  <c r="K93" i="7" s="1"/>
  <c r="R177" i="7"/>
  <c r="U177" i="7" s="1"/>
  <c r="M176" i="7"/>
  <c r="M174" i="7" s="1"/>
  <c r="M363" i="7"/>
  <c r="P363" i="7" s="1"/>
  <c r="N24" i="8"/>
  <c r="N22" i="8" s="1"/>
  <c r="P78" i="8"/>
  <c r="L79" i="8"/>
  <c r="O79" i="8" s="1"/>
  <c r="O190" i="8"/>
  <c r="I203" i="8"/>
  <c r="K203" i="8" s="1"/>
  <c r="L289" i="8"/>
  <c r="O289" i="8" s="1"/>
  <c r="R694" i="8"/>
  <c r="U694" i="8" s="1"/>
  <c r="K781" i="6"/>
  <c r="K784" i="6"/>
  <c r="O48" i="7"/>
  <c r="L359" i="7"/>
  <c r="L357" i="7" s="1"/>
  <c r="U100" i="8"/>
  <c r="I137" i="8"/>
  <c r="K137" i="8" s="1"/>
  <c r="N161" i="8"/>
  <c r="L204" i="8"/>
  <c r="O204" i="8" s="1"/>
  <c r="L285" i="8"/>
  <c r="O285" i="8" s="1"/>
  <c r="T381" i="8"/>
  <c r="K782" i="8"/>
  <c r="Q118" i="8"/>
  <c r="T160" i="8"/>
  <c r="Q158" i="8"/>
  <c r="T158" i="8" s="1"/>
  <c r="O65" i="7"/>
  <c r="M160" i="7"/>
  <c r="L51" i="8"/>
  <c r="O51" i="8" s="1"/>
  <c r="T123" i="8"/>
  <c r="S190" i="8"/>
  <c r="T190" i="8" s="1"/>
  <c r="M193" i="8"/>
  <c r="P193" i="8" s="1"/>
  <c r="N307" i="8"/>
  <c r="N306" i="8"/>
  <c r="N304" i="8" s="1"/>
  <c r="I320" i="8"/>
  <c r="K320" i="8" s="1"/>
  <c r="K331" i="8"/>
  <c r="S378" i="8"/>
  <c r="S376" i="8" s="1"/>
  <c r="S379" i="8"/>
  <c r="I413" i="8"/>
  <c r="K413" i="8" s="1"/>
  <c r="P519" i="8"/>
  <c r="M517" i="8"/>
  <c r="P517" i="8" s="1"/>
  <c r="S76" i="7"/>
  <c r="I138" i="7"/>
  <c r="K138" i="7" s="1"/>
  <c r="P166" i="7"/>
  <c r="I173" i="7"/>
  <c r="K173" i="7" s="1"/>
  <c r="N306" i="7"/>
  <c r="N304" i="7" s="1"/>
  <c r="S620" i="7"/>
  <c r="M62" i="8"/>
  <c r="M60" i="8" s="1"/>
  <c r="O65" i="8"/>
  <c r="P68" i="8"/>
  <c r="P81" i="8"/>
  <c r="R97" i="8"/>
  <c r="R95" i="8" s="1"/>
  <c r="M120" i="8"/>
  <c r="P120" i="8" s="1"/>
  <c r="Q121" i="8"/>
  <c r="T121" i="8" s="1"/>
  <c r="O126" i="8"/>
  <c r="R143" i="8"/>
  <c r="U143" i="8" s="1"/>
  <c r="L146" i="8"/>
  <c r="O146" i="8" s="1"/>
  <c r="M160" i="8"/>
  <c r="P160" i="8" s="1"/>
  <c r="T163" i="8"/>
  <c r="Q174" i="8"/>
  <c r="T174" i="8" s="1"/>
  <c r="S176" i="8"/>
  <c r="S174" i="8" s="1"/>
  <c r="O179" i="8"/>
  <c r="R189" i="8"/>
  <c r="R187" i="8" s="1"/>
  <c r="U187" i="8" s="1"/>
  <c r="N193" i="8"/>
  <c r="I239" i="8"/>
  <c r="K239" i="8" s="1"/>
  <c r="L234" i="8"/>
  <c r="N286" i="8"/>
  <c r="N285" i="8"/>
  <c r="N283" i="8" s="1"/>
  <c r="K441" i="8"/>
  <c r="Q496" i="8"/>
  <c r="T496" i="8" s="1"/>
  <c r="N517" i="8"/>
  <c r="N516" i="8"/>
  <c r="N514" i="8" s="1"/>
  <c r="R645" i="8"/>
  <c r="U645" i="8" s="1"/>
  <c r="R646" i="8"/>
  <c r="U646" i="8" s="1"/>
  <c r="Q731" i="8"/>
  <c r="Q729" i="8" s="1"/>
  <c r="I196" i="6"/>
  <c r="K196" i="6" s="1"/>
  <c r="R306" i="6"/>
  <c r="U306" i="6" s="1"/>
  <c r="N323" i="6"/>
  <c r="N321" i="6" s="1"/>
  <c r="I282" i="7"/>
  <c r="K282" i="7" s="1"/>
  <c r="K369" i="7"/>
  <c r="K458" i="7"/>
  <c r="N62" i="8"/>
  <c r="N60" i="8" s="1"/>
  <c r="P65" i="8"/>
  <c r="L97" i="8"/>
  <c r="N120" i="8"/>
  <c r="N118" i="8" s="1"/>
  <c r="Q142" i="8"/>
  <c r="T142" i="8" s="1"/>
  <c r="Q161" i="8"/>
  <c r="T161" i="8" s="1"/>
  <c r="O166" i="8"/>
  <c r="L189" i="8"/>
  <c r="L187" i="8" s="1"/>
  <c r="P192" i="8"/>
  <c r="I254" i="8"/>
  <c r="K254" i="8" s="1"/>
  <c r="L235" i="8"/>
  <c r="M269" i="8"/>
  <c r="K369" i="8"/>
  <c r="U381" i="8"/>
  <c r="S496" i="8"/>
  <c r="S494" i="8" s="1"/>
  <c r="O519" i="8"/>
  <c r="T696" i="8"/>
  <c r="S731" i="8"/>
  <c r="S729" i="8" s="1"/>
  <c r="S732" i="8"/>
  <c r="T732" i="8" s="1"/>
  <c r="K781" i="8"/>
  <c r="K784" i="8"/>
  <c r="N62" i="6"/>
  <c r="N60" i="6" s="1"/>
  <c r="M176" i="6"/>
  <c r="M174" i="6" s="1"/>
  <c r="N62" i="7"/>
  <c r="N60" i="7" s="1"/>
  <c r="I139" i="7"/>
  <c r="K139" i="7" s="1"/>
  <c r="Q143" i="7"/>
  <c r="T143" i="7" s="1"/>
  <c r="T272" i="7"/>
  <c r="K370" i="7"/>
  <c r="K780" i="7"/>
  <c r="L48" i="8"/>
  <c r="O48" i="8" s="1"/>
  <c r="O100" i="8"/>
  <c r="L101" i="8"/>
  <c r="O101" i="8" s="1"/>
  <c r="S120" i="8"/>
  <c r="S118" i="8" s="1"/>
  <c r="I139" i="8"/>
  <c r="K139" i="8" s="1"/>
  <c r="S142" i="8"/>
  <c r="S140" i="8" s="1"/>
  <c r="L176" i="8"/>
  <c r="L174" i="8" s="1"/>
  <c r="M189" i="8"/>
  <c r="T192" i="8"/>
  <c r="O329" i="8"/>
  <c r="L517" i="8"/>
  <c r="O517" i="8" s="1"/>
  <c r="S619" i="8"/>
  <c r="S617" i="8" s="1"/>
  <c r="K632" i="8"/>
  <c r="K630" i="8"/>
  <c r="J676" i="8"/>
  <c r="J702" i="8"/>
  <c r="R764" i="8"/>
  <c r="R763" i="8"/>
  <c r="R761" i="8" s="1"/>
  <c r="U761" i="8" s="1"/>
  <c r="L75" i="7"/>
  <c r="O75" i="7" s="1"/>
  <c r="M121" i="7"/>
  <c r="P121" i="7" s="1"/>
  <c r="S189" i="7"/>
  <c r="S187" i="7" s="1"/>
  <c r="Q417" i="7"/>
  <c r="T417" i="7" s="1"/>
  <c r="K786" i="7"/>
  <c r="U121" i="8"/>
  <c r="L143" i="8"/>
  <c r="O143" i="8" s="1"/>
  <c r="S160" i="8"/>
  <c r="S158" i="8" s="1"/>
  <c r="M176" i="8"/>
  <c r="K370" i="8"/>
  <c r="Q379" i="8"/>
  <c r="Q378" i="8"/>
  <c r="U499" i="8"/>
  <c r="R497" i="8"/>
  <c r="U497" i="8" s="1"/>
  <c r="R496" i="8"/>
  <c r="T620" i="8"/>
  <c r="I760" i="8"/>
  <c r="K760" i="8" s="1"/>
  <c r="K779" i="8"/>
  <c r="T307" i="8"/>
  <c r="K347" i="8"/>
  <c r="J352" i="8"/>
  <c r="J675" i="8"/>
  <c r="J703" i="8"/>
  <c r="U20" i="8"/>
  <c r="S97" i="7"/>
  <c r="S95" i="7" s="1"/>
  <c r="L520" i="7"/>
  <c r="O520" i="7" s="1"/>
  <c r="J702" i="7"/>
  <c r="O23" i="8"/>
  <c r="M24" i="8"/>
  <c r="M22" i="8" s="1"/>
  <c r="M48" i="8"/>
  <c r="P48" i="8" s="1"/>
  <c r="O53" i="8"/>
  <c r="L47" i="8"/>
  <c r="P61" i="8"/>
  <c r="P74" i="8"/>
  <c r="U119" i="8"/>
  <c r="O159" i="8"/>
  <c r="R160" i="8"/>
  <c r="U160" i="8" s="1"/>
  <c r="O195" i="8"/>
  <c r="L193" i="8"/>
  <c r="O193" i="8" s="1"/>
  <c r="I196" i="8"/>
  <c r="K196" i="8" s="1"/>
  <c r="K231" i="8"/>
  <c r="L273" i="8"/>
  <c r="O273" i="8" s="1"/>
  <c r="O275" i="8"/>
  <c r="K303" i="8"/>
  <c r="T335" i="8"/>
  <c r="Q334" i="8"/>
  <c r="T334" i="8" s="1"/>
  <c r="M337" i="8"/>
  <c r="P337" i="8" s="1"/>
  <c r="P339" i="8"/>
  <c r="M336" i="8"/>
  <c r="M494" i="8"/>
  <c r="P494" i="8" s="1"/>
  <c r="P496" i="8"/>
  <c r="O515" i="8"/>
  <c r="P522" i="8"/>
  <c r="M516" i="8"/>
  <c r="M520" i="8"/>
  <c r="P520" i="8" s="1"/>
  <c r="L535" i="8"/>
  <c r="O535" i="8" s="1"/>
  <c r="O537" i="8"/>
  <c r="Q646" i="8"/>
  <c r="T646" i="8" s="1"/>
  <c r="T648" i="8"/>
  <c r="P693" i="8"/>
  <c r="M691" i="8"/>
  <c r="P691" i="8" s="1"/>
  <c r="L337" i="8"/>
  <c r="O337" i="8" s="1"/>
  <c r="O339" i="8"/>
  <c r="L336" i="8"/>
  <c r="S98" i="6"/>
  <c r="R75" i="7"/>
  <c r="U75" i="7" s="1"/>
  <c r="M75" i="7"/>
  <c r="P75" i="7" s="1"/>
  <c r="M193" i="7"/>
  <c r="P193" i="7" s="1"/>
  <c r="L237" i="7"/>
  <c r="R269" i="7"/>
  <c r="R267" i="7" s="1"/>
  <c r="L20" i="8"/>
  <c r="S20" i="8"/>
  <c r="L24" i="8"/>
  <c r="N27" i="8"/>
  <c r="M51" i="8"/>
  <c r="P51" i="8" s="1"/>
  <c r="M27" i="8"/>
  <c r="P27" i="8" s="1"/>
  <c r="Q98" i="8"/>
  <c r="Q24" i="8"/>
  <c r="O119" i="8"/>
  <c r="R120" i="8"/>
  <c r="L160" i="8"/>
  <c r="O160" i="8" s="1"/>
  <c r="U175" i="8"/>
  <c r="U192" i="8"/>
  <c r="L255" i="8"/>
  <c r="O255" i="8" s="1"/>
  <c r="S270" i="8"/>
  <c r="L270" i="8"/>
  <c r="O270" i="8" s="1"/>
  <c r="O272" i="8"/>
  <c r="L269" i="8"/>
  <c r="M286" i="8"/>
  <c r="P286" i="8" s="1"/>
  <c r="P288" i="8"/>
  <c r="M285" i="8"/>
  <c r="K315" i="8"/>
  <c r="L363" i="8"/>
  <c r="O363" i="8" s="1"/>
  <c r="O365" i="8"/>
  <c r="L359" i="8"/>
  <c r="T495" i="8"/>
  <c r="U159" i="8"/>
  <c r="K230" i="8"/>
  <c r="I222" i="8"/>
  <c r="K222" i="8" s="1"/>
  <c r="I266" i="8"/>
  <c r="K266" i="8" s="1"/>
  <c r="R535" i="8"/>
  <c r="U535" i="8" s="1"/>
  <c r="U537" i="8"/>
  <c r="P63" i="6"/>
  <c r="R269" i="6"/>
  <c r="R267" i="6" s="1"/>
  <c r="R161" i="7"/>
  <c r="U161" i="7" s="1"/>
  <c r="M189" i="7"/>
  <c r="M187" i="7" s="1"/>
  <c r="K199" i="7"/>
  <c r="S270" i="7"/>
  <c r="T270" i="7" s="1"/>
  <c r="S729" i="7"/>
  <c r="S732" i="7"/>
  <c r="M20" i="8"/>
  <c r="P26" i="8"/>
  <c r="S45" i="8"/>
  <c r="P63" i="8"/>
  <c r="O68" i="8"/>
  <c r="L62" i="8"/>
  <c r="S24" i="8"/>
  <c r="S21" i="8" s="1"/>
  <c r="S76" i="8"/>
  <c r="L120" i="8"/>
  <c r="O120" i="8" s="1"/>
  <c r="R142" i="8"/>
  <c r="U163" i="8"/>
  <c r="O175" i="8"/>
  <c r="R176" i="8"/>
  <c r="U176" i="8" s="1"/>
  <c r="O177" i="8"/>
  <c r="P190" i="8"/>
  <c r="O192" i="8"/>
  <c r="L215" i="8"/>
  <c r="O215" i="8" s="1"/>
  <c r="O305" i="8"/>
  <c r="Q600" i="8"/>
  <c r="T600" i="8" s="1"/>
  <c r="K627" i="8"/>
  <c r="J616" i="8"/>
  <c r="T644" i="8"/>
  <c r="Q645" i="8"/>
  <c r="T645" i="8" s="1"/>
  <c r="O26" i="8"/>
  <c r="L237" i="8"/>
  <c r="L244" i="8"/>
  <c r="L324" i="8"/>
  <c r="O324" i="8" s="1"/>
  <c r="O326" i="8"/>
  <c r="L323" i="8"/>
  <c r="N324" i="6"/>
  <c r="J702" i="6"/>
  <c r="P63" i="7"/>
  <c r="L76" i="7"/>
  <c r="O76" i="7" s="1"/>
  <c r="L79" i="7"/>
  <c r="O79" i="7" s="1"/>
  <c r="I84" i="7"/>
  <c r="I72" i="7" s="1"/>
  <c r="K72" i="7" s="1"/>
  <c r="O148" i="7"/>
  <c r="L176" i="7"/>
  <c r="L174" i="7" s="1"/>
  <c r="I266" i="7"/>
  <c r="K266" i="7" s="1"/>
  <c r="N323" i="7"/>
  <c r="N321" i="7" s="1"/>
  <c r="L360" i="7"/>
  <c r="O360" i="7" s="1"/>
  <c r="P23" i="8"/>
  <c r="P50" i="8"/>
  <c r="P53" i="8"/>
  <c r="N97" i="8"/>
  <c r="N95" i="8" s="1"/>
  <c r="U123" i="8"/>
  <c r="P159" i="8"/>
  <c r="O163" i="8"/>
  <c r="T269" i="8"/>
  <c r="R620" i="8"/>
  <c r="U620" i="8" s="1"/>
  <c r="R619" i="8"/>
  <c r="U622" i="8"/>
  <c r="U644" i="8"/>
  <c r="M176" i="1"/>
  <c r="U23" i="8"/>
  <c r="R321" i="8"/>
  <c r="U321" i="8" s="1"/>
  <c r="U323" i="8"/>
  <c r="O48" i="6"/>
  <c r="I203" i="6"/>
  <c r="K203" i="6" s="1"/>
  <c r="M48" i="7"/>
  <c r="P48" i="7" s="1"/>
  <c r="M76" i="7"/>
  <c r="P76" i="7" s="1"/>
  <c r="M143" i="7"/>
  <c r="P143" i="7" s="1"/>
  <c r="I203" i="7"/>
  <c r="K203" i="7" s="1"/>
  <c r="T731" i="7"/>
  <c r="R24" i="8"/>
  <c r="R22" i="8" s="1"/>
  <c r="U26" i="8"/>
  <c r="R25" i="8"/>
  <c r="U25" i="8" s="1"/>
  <c r="P46" i="8"/>
  <c r="M47" i="8"/>
  <c r="S60" i="8"/>
  <c r="S73" i="8"/>
  <c r="I83" i="8"/>
  <c r="T100" i="8"/>
  <c r="O123" i="8"/>
  <c r="M142" i="8"/>
  <c r="U179" i="8"/>
  <c r="K243" i="8"/>
  <c r="R267" i="8"/>
  <c r="U267" i="8" s="1"/>
  <c r="U269" i="8"/>
  <c r="Q270" i="8"/>
  <c r="T272" i="8"/>
  <c r="T284" i="8"/>
  <c r="Q283" i="8"/>
  <c r="T283" i="8" s="1"/>
  <c r="Q321" i="8"/>
  <c r="T321" i="8" s="1"/>
  <c r="T323" i="8"/>
  <c r="N327" i="8"/>
  <c r="N323" i="8"/>
  <c r="N321" i="8" s="1"/>
  <c r="P358" i="8"/>
  <c r="O618" i="8"/>
  <c r="L617" i="8"/>
  <c r="O617" i="8" s="1"/>
  <c r="O763" i="8"/>
  <c r="L761" i="8"/>
  <c r="O761" i="8" s="1"/>
  <c r="P123" i="8"/>
  <c r="P126" i="8"/>
  <c r="T145" i="8"/>
  <c r="P163" i="8"/>
  <c r="P166" i="8"/>
  <c r="P179" i="8"/>
  <c r="P182" i="8"/>
  <c r="U284" i="8"/>
  <c r="R283" i="8"/>
  <c r="U283" i="8" s="1"/>
  <c r="T305" i="8"/>
  <c r="M307" i="8"/>
  <c r="P307" i="8" s="1"/>
  <c r="P309" i="8"/>
  <c r="M310" i="8"/>
  <c r="P310" i="8" s="1"/>
  <c r="P312" i="8"/>
  <c r="O360" i="8"/>
  <c r="L376" i="8"/>
  <c r="O376" i="8" s="1"/>
  <c r="O378" i="8"/>
  <c r="U415" i="8"/>
  <c r="R414" i="8"/>
  <c r="U414" i="8" s="1"/>
  <c r="Q577" i="8"/>
  <c r="T577" i="8" s="1"/>
  <c r="M617" i="8"/>
  <c r="P617" i="8" s="1"/>
  <c r="P618" i="8"/>
  <c r="L643" i="8"/>
  <c r="O643" i="8" s="1"/>
  <c r="O644" i="8"/>
  <c r="M761" i="8"/>
  <c r="P761" i="8" s="1"/>
  <c r="P763" i="8"/>
  <c r="P270" i="8"/>
  <c r="O284" i="8"/>
  <c r="U305" i="8"/>
  <c r="J344" i="8"/>
  <c r="J333" i="8"/>
  <c r="T762" i="8"/>
  <c r="L223" i="8"/>
  <c r="O223" i="8" s="1"/>
  <c r="T268" i="8"/>
  <c r="Q267" i="8"/>
  <c r="T267" i="8" s="1"/>
  <c r="R270" i="8"/>
  <c r="U272" i="8"/>
  <c r="L286" i="8"/>
  <c r="O286" i="8" s="1"/>
  <c r="O288" i="8"/>
  <c r="R334" i="8"/>
  <c r="U334" i="8" s="1"/>
  <c r="U336" i="8"/>
  <c r="P360" i="8"/>
  <c r="M363" i="8"/>
  <c r="P363" i="8" s="1"/>
  <c r="P365" i="8"/>
  <c r="M359" i="8"/>
  <c r="R514" i="8"/>
  <c r="U514" i="8" s="1"/>
  <c r="U515" i="8"/>
  <c r="O309" i="8"/>
  <c r="U309" i="8"/>
  <c r="O312" i="8"/>
  <c r="M323" i="8"/>
  <c r="P329" i="8"/>
  <c r="N336" i="8"/>
  <c r="N334" i="8" s="1"/>
  <c r="J366" i="8"/>
  <c r="K366" i="8" s="1"/>
  <c r="O415" i="8"/>
  <c r="L414" i="8"/>
  <c r="O414" i="8" s="1"/>
  <c r="T419" i="8"/>
  <c r="Q416" i="8"/>
  <c r="I457" i="8"/>
  <c r="K457" i="8" s="1"/>
  <c r="M643" i="8"/>
  <c r="P643" i="8" s="1"/>
  <c r="T692" i="8"/>
  <c r="R731" i="8"/>
  <c r="U734" i="8"/>
  <c r="U557" i="8"/>
  <c r="R556" i="8"/>
  <c r="U556" i="8" s="1"/>
  <c r="K704" i="8"/>
  <c r="I702" i="8"/>
  <c r="K702" i="8" s="1"/>
  <c r="K387" i="8"/>
  <c r="O557" i="8"/>
  <c r="L556" i="8"/>
  <c r="O556" i="8" s="1"/>
  <c r="K505" i="8"/>
  <c r="J504" i="8"/>
  <c r="J493" i="8" s="1"/>
  <c r="U618" i="8"/>
  <c r="T622" i="8"/>
  <c r="Q619" i="8"/>
  <c r="T766" i="8"/>
  <c r="S764" i="8"/>
  <c r="T764" i="8" s="1"/>
  <c r="O522" i="8"/>
  <c r="N160" i="7"/>
  <c r="N158" i="7" s="1"/>
  <c r="P65" i="7"/>
  <c r="I117" i="7"/>
  <c r="K117" i="7" s="1"/>
  <c r="S120" i="7"/>
  <c r="S118" i="7" s="1"/>
  <c r="O145" i="7"/>
  <c r="I239" i="7"/>
  <c r="K239" i="7" s="1"/>
  <c r="L269" i="7"/>
  <c r="O269" i="7" s="1"/>
  <c r="N286" i="7"/>
  <c r="K630" i="7"/>
  <c r="Q764" i="7"/>
  <c r="K783" i="7"/>
  <c r="R76" i="6"/>
  <c r="U76" i="6" s="1"/>
  <c r="U163" i="6"/>
  <c r="N75" i="7"/>
  <c r="N73" i="7" s="1"/>
  <c r="M79" i="7"/>
  <c r="P79" i="7" s="1"/>
  <c r="N97" i="7"/>
  <c r="N95" i="7" s="1"/>
  <c r="I222" i="7"/>
  <c r="K222" i="7" s="1"/>
  <c r="M269" i="7"/>
  <c r="M267" i="7" s="1"/>
  <c r="K347" i="7"/>
  <c r="L363" i="7"/>
  <c r="O363" i="7" s="1"/>
  <c r="L517" i="7"/>
  <c r="O517" i="7" s="1"/>
  <c r="U619" i="7"/>
  <c r="K781" i="7"/>
  <c r="O166" i="6"/>
  <c r="O50" i="7"/>
  <c r="P81" i="7"/>
  <c r="L215" i="7"/>
  <c r="O215" i="7" s="1"/>
  <c r="Q306" i="7"/>
  <c r="Q304" i="7" s="1"/>
  <c r="L340" i="7"/>
  <c r="O340" i="7" s="1"/>
  <c r="M517" i="7"/>
  <c r="P517" i="7" s="1"/>
  <c r="I83" i="6"/>
  <c r="I71" i="6" s="1"/>
  <c r="K71" i="6" s="1"/>
  <c r="M120" i="7"/>
  <c r="P182" i="7"/>
  <c r="I254" i="7"/>
  <c r="K254" i="7" s="1"/>
  <c r="S306" i="7"/>
  <c r="Q497" i="7"/>
  <c r="T497" i="7" s="1"/>
  <c r="U734" i="6"/>
  <c r="M24" i="7"/>
  <c r="M22" i="7" s="1"/>
  <c r="L164" i="7"/>
  <c r="O164" i="7" s="1"/>
  <c r="M177" i="7"/>
  <c r="S269" i="7"/>
  <c r="S267" i="7" s="1"/>
  <c r="I303" i="7"/>
  <c r="K303" i="7" s="1"/>
  <c r="P339" i="7"/>
  <c r="R496" i="7"/>
  <c r="R494" i="7" s="1"/>
  <c r="U494" i="7" s="1"/>
  <c r="K775" i="7"/>
  <c r="U97" i="7"/>
  <c r="R95" i="7"/>
  <c r="U95" i="7" s="1"/>
  <c r="I94" i="4"/>
  <c r="K94" i="4" s="1"/>
  <c r="O312" i="5"/>
  <c r="Q76" i="6"/>
  <c r="T76" i="6" s="1"/>
  <c r="T163" i="6"/>
  <c r="Q176" i="6"/>
  <c r="T176" i="6" s="1"/>
  <c r="T179" i="6"/>
  <c r="N98" i="7"/>
  <c r="N120" i="7"/>
  <c r="N118" i="7" s="1"/>
  <c r="U123" i="7"/>
  <c r="Q176" i="7"/>
  <c r="Q174" i="7" s="1"/>
  <c r="T174" i="7" s="1"/>
  <c r="S417" i="7"/>
  <c r="Q729" i="7"/>
  <c r="L306" i="5"/>
  <c r="O306" i="5" s="1"/>
  <c r="O192" i="6"/>
  <c r="N47" i="7"/>
  <c r="N45" i="7" s="1"/>
  <c r="O63" i="7"/>
  <c r="R98" i="7"/>
  <c r="U98" i="7" s="1"/>
  <c r="U121" i="7"/>
  <c r="S177" i="7"/>
  <c r="L180" i="7"/>
  <c r="O180" i="7" s="1"/>
  <c r="L189" i="7"/>
  <c r="L187" i="7" s="1"/>
  <c r="P190" i="7"/>
  <c r="N307" i="7"/>
  <c r="K345" i="7"/>
  <c r="J344" i="7"/>
  <c r="K631" i="7"/>
  <c r="Q645" i="7"/>
  <c r="Q643" i="7" s="1"/>
  <c r="S306" i="5"/>
  <c r="S304" i="5" s="1"/>
  <c r="N27" i="6"/>
  <c r="N25" i="6" s="1"/>
  <c r="N142" i="6"/>
  <c r="N140" i="6" s="1"/>
  <c r="P362" i="6"/>
  <c r="S414" i="6"/>
  <c r="K780" i="6"/>
  <c r="L124" i="7"/>
  <c r="O124" i="7" s="1"/>
  <c r="L142" i="7"/>
  <c r="L244" i="7"/>
  <c r="O244" i="7" s="1"/>
  <c r="L255" i="7"/>
  <c r="O255" i="7" s="1"/>
  <c r="M285" i="7"/>
  <c r="P285" i="7" s="1"/>
  <c r="O288" i="7"/>
  <c r="P337" i="7"/>
  <c r="P342" i="7"/>
  <c r="Q496" i="7"/>
  <c r="T496" i="7" s="1"/>
  <c r="K627" i="7"/>
  <c r="K633" i="7"/>
  <c r="R645" i="7"/>
  <c r="R643" i="7" s="1"/>
  <c r="J675" i="7"/>
  <c r="R693" i="7"/>
  <c r="R694" i="7"/>
  <c r="U694" i="7" s="1"/>
  <c r="U766" i="7"/>
  <c r="K784" i="7"/>
  <c r="L235" i="7"/>
  <c r="N24" i="7"/>
  <c r="I303" i="5"/>
  <c r="K303" i="5" s="1"/>
  <c r="Q160" i="6"/>
  <c r="T160" i="6" s="1"/>
  <c r="K293" i="6"/>
  <c r="P365" i="6"/>
  <c r="M97" i="7"/>
  <c r="P100" i="7"/>
  <c r="L120" i="7"/>
  <c r="L121" i="7"/>
  <c r="O121" i="7" s="1"/>
  <c r="N142" i="7"/>
  <c r="N140" i="7" s="1"/>
  <c r="L160" i="7"/>
  <c r="O160" i="7" s="1"/>
  <c r="L161" i="7"/>
  <c r="O161" i="7" s="1"/>
  <c r="K221" i="7"/>
  <c r="M336" i="7"/>
  <c r="M334" i="7" s="1"/>
  <c r="M359" i="7"/>
  <c r="M357" i="7" s="1"/>
  <c r="T419" i="7"/>
  <c r="R497" i="7"/>
  <c r="U497" i="7" s="1"/>
  <c r="K504" i="7"/>
  <c r="K728" i="7"/>
  <c r="R764" i="7"/>
  <c r="P365" i="5"/>
  <c r="L237" i="6"/>
  <c r="L517" i="6"/>
  <c r="O517" i="6" s="1"/>
  <c r="N27" i="7"/>
  <c r="N25" i="7" s="1"/>
  <c r="L223" i="7"/>
  <c r="O223" i="7" s="1"/>
  <c r="M289" i="7"/>
  <c r="P289" i="7" s="1"/>
  <c r="I616" i="7"/>
  <c r="K616" i="7" s="1"/>
  <c r="J703" i="7"/>
  <c r="T75" i="7"/>
  <c r="Q73" i="7"/>
  <c r="T73" i="7" s="1"/>
  <c r="L51" i="7"/>
  <c r="O51" i="7" s="1"/>
  <c r="L27" i="7"/>
  <c r="O27" i="7" s="1"/>
  <c r="O53" i="7"/>
  <c r="L47" i="7"/>
  <c r="L66" i="7"/>
  <c r="O66" i="7" s="1"/>
  <c r="O68" i="7"/>
  <c r="L62" i="7"/>
  <c r="S646" i="7"/>
  <c r="T646" i="7" s="1"/>
  <c r="S645" i="7"/>
  <c r="T648" i="7"/>
  <c r="R715" i="7"/>
  <c r="U715" i="7" s="1"/>
  <c r="U716" i="7"/>
  <c r="M761" i="7"/>
  <c r="P761" i="7" s="1"/>
  <c r="P762" i="7"/>
  <c r="U499" i="5"/>
  <c r="L79" i="6"/>
  <c r="O79" i="6" s="1"/>
  <c r="R98" i="6"/>
  <c r="R20" i="7"/>
  <c r="P26" i="7"/>
  <c r="M51" i="7"/>
  <c r="P51" i="7" s="1"/>
  <c r="M27" i="7"/>
  <c r="P53" i="7"/>
  <c r="M47" i="7"/>
  <c r="M66" i="7"/>
  <c r="P66" i="7" s="1"/>
  <c r="P68" i="7"/>
  <c r="M62" i="7"/>
  <c r="K86" i="7"/>
  <c r="Q121" i="7"/>
  <c r="T121" i="7" s="1"/>
  <c r="T123" i="7"/>
  <c r="R140" i="7"/>
  <c r="U140" i="7" s="1"/>
  <c r="M327" i="7"/>
  <c r="P327" i="7" s="1"/>
  <c r="P329" i="7"/>
  <c r="M323" i="7"/>
  <c r="R376" i="7"/>
  <c r="U376" i="7" s="1"/>
  <c r="U378" i="7"/>
  <c r="S24" i="7"/>
  <c r="S21" i="7" s="1"/>
  <c r="K294" i="5"/>
  <c r="O78" i="6"/>
  <c r="T100" i="6"/>
  <c r="I214" i="6"/>
  <c r="K214" i="6" s="1"/>
  <c r="N285" i="6"/>
  <c r="N283" i="6" s="1"/>
  <c r="J344" i="6"/>
  <c r="L359" i="6"/>
  <c r="L357" i="6" s="1"/>
  <c r="S20" i="7"/>
  <c r="P23" i="7"/>
  <c r="I83" i="7"/>
  <c r="K87" i="7"/>
  <c r="Q98" i="7"/>
  <c r="T98" i="7" s="1"/>
  <c r="T100" i="7"/>
  <c r="Q120" i="7"/>
  <c r="O175" i="7"/>
  <c r="L310" i="7"/>
  <c r="O310" i="7" s="1"/>
  <c r="O312" i="7"/>
  <c r="P78" i="6"/>
  <c r="U100" i="6"/>
  <c r="K261" i="6"/>
  <c r="K347" i="6"/>
  <c r="J352" i="6"/>
  <c r="S617" i="6"/>
  <c r="L20" i="7"/>
  <c r="Q95" i="7"/>
  <c r="T95" i="7" s="1"/>
  <c r="T97" i="7"/>
  <c r="U100" i="7"/>
  <c r="R24" i="7"/>
  <c r="P141" i="7"/>
  <c r="K155" i="7"/>
  <c r="I137" i="7"/>
  <c r="K137" i="7" s="1"/>
  <c r="I157" i="7"/>
  <c r="K157" i="7" s="1"/>
  <c r="K170" i="7"/>
  <c r="Q190" i="7"/>
  <c r="T190" i="7" s="1"/>
  <c r="Q189" i="7"/>
  <c r="T189" i="7" s="1"/>
  <c r="T192" i="7"/>
  <c r="L577" i="7"/>
  <c r="O577" i="7" s="1"/>
  <c r="O578" i="7"/>
  <c r="M79" i="4"/>
  <c r="P79" i="4" s="1"/>
  <c r="P20" i="7"/>
  <c r="T78" i="7"/>
  <c r="Q24" i="7"/>
  <c r="O100" i="7"/>
  <c r="L24" i="7"/>
  <c r="L22" i="7" s="1"/>
  <c r="Q161" i="7"/>
  <c r="T161" i="7" s="1"/>
  <c r="T163" i="7"/>
  <c r="Q160" i="7"/>
  <c r="L289" i="7"/>
  <c r="O289" i="7" s="1"/>
  <c r="O291" i="7"/>
  <c r="L285" i="7"/>
  <c r="O285" i="7" s="1"/>
  <c r="L307" i="7"/>
  <c r="O307" i="7" s="1"/>
  <c r="O309" i="7"/>
  <c r="L306" i="7"/>
  <c r="O306" i="7" s="1"/>
  <c r="N47" i="6"/>
  <c r="N45" i="6" s="1"/>
  <c r="N143" i="6"/>
  <c r="S189" i="6"/>
  <c r="S187" i="6" s="1"/>
  <c r="K786" i="6"/>
  <c r="R25" i="7"/>
  <c r="U25" i="7" s="1"/>
  <c r="L97" i="7"/>
  <c r="L101" i="7"/>
  <c r="O101" i="7" s="1"/>
  <c r="R143" i="7"/>
  <c r="U143" i="7" s="1"/>
  <c r="U145" i="7"/>
  <c r="N270" i="7"/>
  <c r="P270" i="7" s="1"/>
  <c r="N269" i="7"/>
  <c r="N267" i="7" s="1"/>
  <c r="Q321" i="7"/>
  <c r="T321" i="7" s="1"/>
  <c r="T322" i="7"/>
  <c r="O188" i="7"/>
  <c r="U190" i="7"/>
  <c r="L234" i="7"/>
  <c r="U268" i="7"/>
  <c r="U309" i="7"/>
  <c r="R334" i="7"/>
  <c r="U334" i="7" s="1"/>
  <c r="J366" i="7"/>
  <c r="K366" i="7" s="1"/>
  <c r="K372" i="7"/>
  <c r="K387" i="7"/>
  <c r="I375" i="7"/>
  <c r="U644" i="7"/>
  <c r="O159" i="7"/>
  <c r="U159" i="7"/>
  <c r="U175" i="7"/>
  <c r="T179" i="7"/>
  <c r="K196" i="7"/>
  <c r="L204" i="7"/>
  <c r="O204" i="7" s="1"/>
  <c r="J232" i="7"/>
  <c r="J186" i="7" s="1"/>
  <c r="O268" i="7"/>
  <c r="R306" i="7"/>
  <c r="R304" i="7" s="1"/>
  <c r="R357" i="7"/>
  <c r="U357" i="7" s="1"/>
  <c r="L494" i="7"/>
  <c r="O494" i="7" s="1"/>
  <c r="O496" i="7"/>
  <c r="N189" i="7"/>
  <c r="N187" i="7" s="1"/>
  <c r="O190" i="7"/>
  <c r="I281" i="7"/>
  <c r="K281" i="7" s="1"/>
  <c r="K294" i="7"/>
  <c r="O378" i="7"/>
  <c r="L376" i="7"/>
  <c r="O376" i="7" s="1"/>
  <c r="M393" i="7"/>
  <c r="P393" i="7" s="1"/>
  <c r="P394" i="7"/>
  <c r="P716" i="7"/>
  <c r="M715" i="7"/>
  <c r="P715" i="7" s="1"/>
  <c r="T762" i="7"/>
  <c r="Q761" i="7"/>
  <c r="N177" i="7"/>
  <c r="P179" i="7"/>
  <c r="O179" i="7"/>
  <c r="P192" i="7"/>
  <c r="P358" i="7"/>
  <c r="U381" i="7"/>
  <c r="R379" i="7"/>
  <c r="U379" i="7" s="1"/>
  <c r="S497" i="7"/>
  <c r="S496" i="7"/>
  <c r="S494" i="7" s="1"/>
  <c r="T622" i="7"/>
  <c r="Q620" i="7"/>
  <c r="Q619" i="7"/>
  <c r="P645" i="7"/>
  <c r="M643" i="7"/>
  <c r="P643" i="7" s="1"/>
  <c r="R732" i="7"/>
  <c r="U734" i="7"/>
  <c r="R731" i="7"/>
  <c r="U731" i="7" s="1"/>
  <c r="P272" i="7"/>
  <c r="U307" i="7"/>
  <c r="O339" i="7"/>
  <c r="L337" i="7"/>
  <c r="O337" i="7" s="1"/>
  <c r="L336" i="7"/>
  <c r="T515" i="7"/>
  <c r="Q514" i="7"/>
  <c r="T514" i="7" s="1"/>
  <c r="L556" i="7"/>
  <c r="O556" i="7" s="1"/>
  <c r="O557" i="7"/>
  <c r="N340" i="7"/>
  <c r="N336" i="7"/>
  <c r="N334" i="7" s="1"/>
  <c r="T415" i="7"/>
  <c r="Q414" i="7"/>
  <c r="T414" i="7" s="1"/>
  <c r="R417" i="7"/>
  <c r="U417" i="7" s="1"/>
  <c r="R416" i="7"/>
  <c r="U416" i="7" s="1"/>
  <c r="U419" i="7"/>
  <c r="K424" i="7"/>
  <c r="I413" i="7"/>
  <c r="K413" i="7" s="1"/>
  <c r="M520" i="7"/>
  <c r="P520" i="7" s="1"/>
  <c r="R556" i="7"/>
  <c r="U556" i="7" s="1"/>
  <c r="U557" i="7"/>
  <c r="L600" i="7"/>
  <c r="O600" i="7" s="1"/>
  <c r="O601" i="7"/>
  <c r="I243" i="7"/>
  <c r="K250" i="7"/>
  <c r="T309" i="7"/>
  <c r="L323" i="7"/>
  <c r="J333" i="7"/>
  <c r="K333" i="7" s="1"/>
  <c r="P362" i="7"/>
  <c r="U415" i="7"/>
  <c r="R535" i="7"/>
  <c r="U535" i="7" s="1"/>
  <c r="U536" i="7"/>
  <c r="T644" i="7"/>
  <c r="U648" i="7"/>
  <c r="Q694" i="7"/>
  <c r="T694" i="7" s="1"/>
  <c r="T696" i="7"/>
  <c r="L715" i="7"/>
  <c r="O715" i="7" s="1"/>
  <c r="O716" i="7"/>
  <c r="T766" i="7"/>
  <c r="S764" i="7"/>
  <c r="P148" i="7"/>
  <c r="O192" i="7"/>
  <c r="U192" i="7"/>
  <c r="O195" i="7"/>
  <c r="O272" i="7"/>
  <c r="U272" i="7"/>
  <c r="O275" i="7"/>
  <c r="R283" i="7"/>
  <c r="U283" i="7" s="1"/>
  <c r="P288" i="7"/>
  <c r="P309" i="7"/>
  <c r="P312" i="7"/>
  <c r="P377" i="7"/>
  <c r="J504" i="7"/>
  <c r="J493" i="7" s="1"/>
  <c r="M516" i="7"/>
  <c r="P516" i="7" s="1"/>
  <c r="L535" i="7"/>
  <c r="O535" i="7" s="1"/>
  <c r="O536" i="7"/>
  <c r="R577" i="7"/>
  <c r="U577" i="7" s="1"/>
  <c r="U578" i="7"/>
  <c r="T579" i="7"/>
  <c r="Q577" i="7"/>
  <c r="T577" i="7" s="1"/>
  <c r="M600" i="7"/>
  <c r="P600" i="7" s="1"/>
  <c r="R620" i="7"/>
  <c r="U622" i="7"/>
  <c r="Q693" i="7"/>
  <c r="T693" i="7" s="1"/>
  <c r="M729" i="7"/>
  <c r="P729" i="7" s="1"/>
  <c r="P730" i="7"/>
  <c r="S763" i="7"/>
  <c r="U763" i="7" s="1"/>
  <c r="O329" i="7"/>
  <c r="J352" i="7"/>
  <c r="N359" i="7"/>
  <c r="N357" i="7" s="1"/>
  <c r="T381" i="7"/>
  <c r="Q378" i="7"/>
  <c r="O415" i="7"/>
  <c r="T495" i="7"/>
  <c r="K505" i="7"/>
  <c r="N516" i="7"/>
  <c r="N514" i="7" s="1"/>
  <c r="R600" i="7"/>
  <c r="U600" i="7" s="1"/>
  <c r="U601" i="7"/>
  <c r="T602" i="7"/>
  <c r="Q600" i="7"/>
  <c r="T600" i="7" s="1"/>
  <c r="T734" i="7"/>
  <c r="Q732" i="7"/>
  <c r="O362" i="7"/>
  <c r="J458" i="7"/>
  <c r="J457" i="7" s="1"/>
  <c r="L617" i="7"/>
  <c r="O617" i="7" s="1"/>
  <c r="R617" i="7"/>
  <c r="U617" i="7" s="1"/>
  <c r="J676" i="7"/>
  <c r="I702" i="7"/>
  <c r="K702" i="7" s="1"/>
  <c r="N643" i="7"/>
  <c r="K654" i="7"/>
  <c r="L729" i="7"/>
  <c r="O729" i="7" s="1"/>
  <c r="L516" i="7"/>
  <c r="Q121" i="6"/>
  <c r="Q120" i="6"/>
  <c r="Q118" i="6" s="1"/>
  <c r="N270" i="6"/>
  <c r="N269" i="6"/>
  <c r="N267" i="6" s="1"/>
  <c r="P145" i="6"/>
  <c r="M143" i="6"/>
  <c r="P143" i="6" s="1"/>
  <c r="K230" i="6"/>
  <c r="I222" i="6"/>
  <c r="K222" i="6" s="1"/>
  <c r="Q270" i="6"/>
  <c r="Q269" i="6"/>
  <c r="Q267" i="6" s="1"/>
  <c r="S306" i="6"/>
  <c r="S304" i="6" s="1"/>
  <c r="R379" i="6"/>
  <c r="U379" i="6" s="1"/>
  <c r="R378" i="6"/>
  <c r="R376" i="6" s="1"/>
  <c r="U376" i="6" s="1"/>
  <c r="K369" i="4"/>
  <c r="K372" i="4"/>
  <c r="U123" i="5"/>
  <c r="M180" i="5"/>
  <c r="P180" i="5" s="1"/>
  <c r="J352" i="5"/>
  <c r="O50" i="6"/>
  <c r="P65" i="6"/>
  <c r="L75" i="6"/>
  <c r="O75" i="6" s="1"/>
  <c r="K155" i="6"/>
  <c r="Q190" i="6"/>
  <c r="T190" i="6" s="1"/>
  <c r="Q189" i="6"/>
  <c r="T189" i="6" s="1"/>
  <c r="O195" i="6"/>
  <c r="L189" i="6"/>
  <c r="L187" i="6" s="1"/>
  <c r="O81" i="5"/>
  <c r="S176" i="5"/>
  <c r="S174" i="5" s="1"/>
  <c r="R307" i="5"/>
  <c r="U307" i="5" s="1"/>
  <c r="P100" i="6"/>
  <c r="M98" i="6"/>
  <c r="P98" i="6" s="1"/>
  <c r="R189" i="6"/>
  <c r="U192" i="6"/>
  <c r="R190" i="6"/>
  <c r="U190" i="6" s="1"/>
  <c r="K250" i="6"/>
  <c r="I243" i="6"/>
  <c r="K243" i="6" s="1"/>
  <c r="I239" i="6"/>
  <c r="K239" i="6" s="1"/>
  <c r="U381" i="6"/>
  <c r="Q416" i="6"/>
  <c r="T419" i="6"/>
  <c r="Q619" i="6"/>
  <c r="T619" i="6" s="1"/>
  <c r="T622" i="6"/>
  <c r="Q98" i="4"/>
  <c r="T98" i="4" s="1"/>
  <c r="T163" i="4"/>
  <c r="Q304" i="5"/>
  <c r="R75" i="6"/>
  <c r="U75" i="6" s="1"/>
  <c r="K184" i="6"/>
  <c r="I173" i="6"/>
  <c r="K173" i="6" s="1"/>
  <c r="M517" i="6"/>
  <c r="P517" i="6" s="1"/>
  <c r="O522" i="6"/>
  <c r="L520" i="6"/>
  <c r="O520" i="6" s="1"/>
  <c r="S693" i="6"/>
  <c r="S691" i="6" s="1"/>
  <c r="U696" i="6"/>
  <c r="R694" i="6"/>
  <c r="U694" i="6" s="1"/>
  <c r="R75" i="5"/>
  <c r="U75" i="5" s="1"/>
  <c r="Q120" i="5"/>
  <c r="Q118" i="5" s="1"/>
  <c r="K786" i="5"/>
  <c r="M306" i="6"/>
  <c r="P306" i="6" s="1"/>
  <c r="S497" i="6"/>
  <c r="S496" i="6"/>
  <c r="S494" i="6" s="1"/>
  <c r="K708" i="6"/>
  <c r="L235" i="6"/>
  <c r="O337" i="6"/>
  <c r="J333" i="6"/>
  <c r="K333" i="6" s="1"/>
  <c r="J676" i="6"/>
  <c r="R95" i="6"/>
  <c r="Q98" i="6"/>
  <c r="K110" i="6"/>
  <c r="R142" i="6"/>
  <c r="R140" i="6" s="1"/>
  <c r="U140" i="6" s="1"/>
  <c r="L223" i="6"/>
  <c r="O223" i="6" s="1"/>
  <c r="J703" i="6"/>
  <c r="U97" i="6"/>
  <c r="M120" i="6"/>
  <c r="P120" i="6" s="1"/>
  <c r="L204" i="6"/>
  <c r="O204" i="6" s="1"/>
  <c r="L215" i="6"/>
  <c r="O215" i="6" s="1"/>
  <c r="K345" i="6"/>
  <c r="I760" i="6"/>
  <c r="K760" i="6" s="1"/>
  <c r="K783" i="6"/>
  <c r="J504" i="3"/>
  <c r="K504" i="3" s="1"/>
  <c r="N47" i="5"/>
  <c r="N45" i="5" s="1"/>
  <c r="S75" i="5"/>
  <c r="S73" i="5" s="1"/>
  <c r="P103" i="6"/>
  <c r="M101" i="6"/>
  <c r="P101" i="6" s="1"/>
  <c r="S121" i="6"/>
  <c r="T123" i="6"/>
  <c r="S120" i="6"/>
  <c r="S118" i="6" s="1"/>
  <c r="O145" i="6"/>
  <c r="L142" i="6"/>
  <c r="O142" i="6" s="1"/>
  <c r="L143" i="6"/>
  <c r="O143" i="6" s="1"/>
  <c r="N160" i="6"/>
  <c r="N158" i="6" s="1"/>
  <c r="P291" i="6"/>
  <c r="M289" i="6"/>
  <c r="P289" i="6" s="1"/>
  <c r="M285" i="6"/>
  <c r="M337" i="6"/>
  <c r="P337" i="6" s="1"/>
  <c r="P339" i="6"/>
  <c r="N360" i="6"/>
  <c r="O360" i="6" s="1"/>
  <c r="N359" i="6"/>
  <c r="N357" i="6" s="1"/>
  <c r="S143" i="6"/>
  <c r="S142" i="6"/>
  <c r="S140" i="6" s="1"/>
  <c r="S694" i="4"/>
  <c r="U694" i="4" s="1"/>
  <c r="J703" i="4"/>
  <c r="M62" i="5"/>
  <c r="M60" i="5" s="1"/>
  <c r="N120" i="5"/>
  <c r="N118" i="5" s="1"/>
  <c r="S160" i="5"/>
  <c r="S158" i="5" s="1"/>
  <c r="O63" i="6"/>
  <c r="L66" i="6"/>
  <c r="O66" i="6" s="1"/>
  <c r="O68" i="6"/>
  <c r="M97" i="6"/>
  <c r="L121" i="6"/>
  <c r="O121" i="6" s="1"/>
  <c r="O123" i="6"/>
  <c r="L120" i="6"/>
  <c r="O120" i="6" s="1"/>
  <c r="R143" i="6"/>
  <c r="U143" i="6" s="1"/>
  <c r="P192" i="6"/>
  <c r="L310" i="6"/>
  <c r="O310" i="6" s="1"/>
  <c r="L306" i="6"/>
  <c r="O306" i="6" s="1"/>
  <c r="T379" i="6"/>
  <c r="K780" i="3"/>
  <c r="L323" i="5"/>
  <c r="O323" i="5" s="1"/>
  <c r="L327" i="5"/>
  <c r="O327" i="5" s="1"/>
  <c r="K785" i="5"/>
  <c r="M66" i="6"/>
  <c r="P66" i="6" s="1"/>
  <c r="P68" i="6"/>
  <c r="N180" i="6"/>
  <c r="N176" i="6"/>
  <c r="N174" i="6" s="1"/>
  <c r="N190" i="6"/>
  <c r="P190" i="6" s="1"/>
  <c r="N189" i="6"/>
  <c r="L193" i="6"/>
  <c r="O193" i="6" s="1"/>
  <c r="Q307" i="6"/>
  <c r="T307" i="6" s="1"/>
  <c r="Q306" i="6"/>
  <c r="Q304" i="6" s="1"/>
  <c r="T304" i="6" s="1"/>
  <c r="T309" i="6"/>
  <c r="K372" i="6"/>
  <c r="I366" i="6"/>
  <c r="K366" i="6" s="1"/>
  <c r="L289" i="6"/>
  <c r="O289" i="6" s="1"/>
  <c r="O291" i="6"/>
  <c r="M307" i="5"/>
  <c r="P307" i="5" s="1"/>
  <c r="M48" i="6"/>
  <c r="P48" i="6" s="1"/>
  <c r="P50" i="6"/>
  <c r="N24" i="6"/>
  <c r="N22" i="6" s="1"/>
  <c r="I157" i="6"/>
  <c r="K157" i="6" s="1"/>
  <c r="S270" i="6"/>
  <c r="U270" i="6" s="1"/>
  <c r="S269" i="6"/>
  <c r="S267" i="6" s="1"/>
  <c r="K504" i="6"/>
  <c r="I493" i="6"/>
  <c r="K493" i="6" s="1"/>
  <c r="S233" i="1"/>
  <c r="L101" i="6"/>
  <c r="O101" i="6" s="1"/>
  <c r="L97" i="6"/>
  <c r="O103" i="6"/>
  <c r="M146" i="6"/>
  <c r="P146" i="6" s="1"/>
  <c r="P148" i="6"/>
  <c r="L234" i="6"/>
  <c r="L255" i="6"/>
  <c r="O255" i="6" s="1"/>
  <c r="M270" i="6"/>
  <c r="P272" i="6"/>
  <c r="S416" i="3"/>
  <c r="S414" i="3" s="1"/>
  <c r="L75" i="5"/>
  <c r="O75" i="5" s="1"/>
  <c r="S142" i="5"/>
  <c r="S140" i="5" s="1"/>
  <c r="Q190" i="5"/>
  <c r="T190" i="5" s="1"/>
  <c r="Q307" i="5"/>
  <c r="T307" i="5" s="1"/>
  <c r="K345" i="5"/>
  <c r="K369" i="5"/>
  <c r="I616" i="5"/>
  <c r="K616" i="5" s="1"/>
  <c r="K704" i="5"/>
  <c r="K710" i="5"/>
  <c r="K780" i="5"/>
  <c r="Q75" i="6"/>
  <c r="K109" i="6"/>
  <c r="I93" i="6"/>
  <c r="K93" i="6" s="1"/>
  <c r="K128" i="6"/>
  <c r="O272" i="6"/>
  <c r="L269" i="6"/>
  <c r="L270" i="6"/>
  <c r="O270" i="6" s="1"/>
  <c r="L273" i="6"/>
  <c r="O273" i="6" s="1"/>
  <c r="I303" i="6"/>
  <c r="K303" i="6" s="1"/>
  <c r="R497" i="6"/>
  <c r="U497" i="6" s="1"/>
  <c r="U499" i="6"/>
  <c r="S95" i="6"/>
  <c r="L285" i="6"/>
  <c r="O285" i="6" s="1"/>
  <c r="Q497" i="6"/>
  <c r="T497" i="6" s="1"/>
  <c r="S620" i="6"/>
  <c r="T620" i="6" s="1"/>
  <c r="K632" i="6"/>
  <c r="R731" i="6"/>
  <c r="R732" i="6"/>
  <c r="U732" i="6" s="1"/>
  <c r="I84" i="6"/>
  <c r="K84" i="6" s="1"/>
  <c r="K294" i="6"/>
  <c r="M310" i="6"/>
  <c r="P310" i="6" s="1"/>
  <c r="K370" i="6"/>
  <c r="T381" i="6"/>
  <c r="J375" i="6"/>
  <c r="L516" i="6"/>
  <c r="I616" i="6"/>
  <c r="K616" i="6" s="1"/>
  <c r="K727" i="6"/>
  <c r="S731" i="6"/>
  <c r="S729" i="6" s="1"/>
  <c r="S763" i="6"/>
  <c r="S761" i="6" s="1"/>
  <c r="Q764" i="6"/>
  <c r="T764" i="6" s="1"/>
  <c r="M286" i="6"/>
  <c r="P286" i="6" s="1"/>
  <c r="P326" i="6"/>
  <c r="L340" i="6"/>
  <c r="O340" i="6" s="1"/>
  <c r="O362" i="6"/>
  <c r="L363" i="6"/>
  <c r="O363" i="6" s="1"/>
  <c r="T734" i="6"/>
  <c r="K630" i="6"/>
  <c r="J675" i="6"/>
  <c r="M142" i="6"/>
  <c r="M140" i="6" s="1"/>
  <c r="P140" i="6" s="1"/>
  <c r="O182" i="6"/>
  <c r="K369" i="6"/>
  <c r="K627" i="6"/>
  <c r="K631" i="6"/>
  <c r="R646" i="6"/>
  <c r="U646" i="6" s="1"/>
  <c r="I375" i="4"/>
  <c r="L164" i="5"/>
  <c r="O164" i="5" s="1"/>
  <c r="R304" i="5"/>
  <c r="L307" i="5"/>
  <c r="O307" i="5" s="1"/>
  <c r="M327" i="5"/>
  <c r="P327" i="5" s="1"/>
  <c r="J375" i="5"/>
  <c r="U20" i="6"/>
  <c r="U23" i="6"/>
  <c r="U26" i="6"/>
  <c r="R25" i="6"/>
  <c r="U25" i="6" s="1"/>
  <c r="L51" i="6"/>
  <c r="O51" i="6" s="1"/>
  <c r="L27" i="6"/>
  <c r="O27" i="6" s="1"/>
  <c r="O53" i="6"/>
  <c r="L47" i="6"/>
  <c r="M177" i="6"/>
  <c r="P177" i="6" s="1"/>
  <c r="P179" i="6"/>
  <c r="M520" i="6"/>
  <c r="P520" i="6" s="1"/>
  <c r="M516" i="6"/>
  <c r="P522" i="6"/>
  <c r="L601" i="1"/>
  <c r="O601" i="1" s="1"/>
  <c r="M602" i="1"/>
  <c r="P602" i="1" s="1"/>
  <c r="L97" i="5"/>
  <c r="O97" i="5" s="1"/>
  <c r="K109" i="5"/>
  <c r="R120" i="5"/>
  <c r="R118" i="5" s="1"/>
  <c r="N160" i="5"/>
  <c r="N158" i="5" s="1"/>
  <c r="O309" i="5"/>
  <c r="M310" i="5"/>
  <c r="P310" i="5" s="1"/>
  <c r="J676" i="5"/>
  <c r="M51" i="6"/>
  <c r="P51" i="6" s="1"/>
  <c r="M27" i="6"/>
  <c r="P27" i="6" s="1"/>
  <c r="P53" i="6"/>
  <c r="M47" i="6"/>
  <c r="K85" i="6"/>
  <c r="K88" i="6"/>
  <c r="T97" i="6"/>
  <c r="Q95" i="6"/>
  <c r="M273" i="6"/>
  <c r="P273" i="6" s="1"/>
  <c r="P275" i="6"/>
  <c r="O415" i="6"/>
  <c r="L414" i="6"/>
  <c r="O414" i="6" s="1"/>
  <c r="Q378" i="3"/>
  <c r="Q376" i="3" s="1"/>
  <c r="T376" i="3" s="1"/>
  <c r="L323" i="4"/>
  <c r="L321" i="4" s="1"/>
  <c r="O321" i="4" s="1"/>
  <c r="J676" i="4"/>
  <c r="M97" i="5"/>
  <c r="P97" i="5" s="1"/>
  <c r="L101" i="5"/>
  <c r="O101" i="5" s="1"/>
  <c r="N121" i="5"/>
  <c r="L124" i="5"/>
  <c r="O124" i="5" s="1"/>
  <c r="P163" i="5"/>
  <c r="R176" i="5"/>
  <c r="U176" i="5" s="1"/>
  <c r="K221" i="5"/>
  <c r="M289" i="5"/>
  <c r="P289" i="5" s="1"/>
  <c r="M336" i="5"/>
  <c r="M334" i="5" s="1"/>
  <c r="O362" i="5"/>
  <c r="Q731" i="5"/>
  <c r="Q729" i="5" s="1"/>
  <c r="T729" i="5" s="1"/>
  <c r="O20" i="6"/>
  <c r="O23" i="6"/>
  <c r="O26" i="6"/>
  <c r="P46" i="6"/>
  <c r="O65" i="6"/>
  <c r="L24" i="6"/>
  <c r="L62" i="6"/>
  <c r="R121" i="6"/>
  <c r="U123" i="6"/>
  <c r="R24" i="6"/>
  <c r="M161" i="6"/>
  <c r="P161" i="6" s="1"/>
  <c r="P163" i="6"/>
  <c r="M160" i="6"/>
  <c r="P160" i="6" s="1"/>
  <c r="M24" i="6"/>
  <c r="L324" i="6"/>
  <c r="O324" i="6" s="1"/>
  <c r="L323" i="6"/>
  <c r="O326" i="6"/>
  <c r="U644" i="6"/>
  <c r="N66" i="1"/>
  <c r="R160" i="4"/>
  <c r="U160" i="4" s="1"/>
  <c r="M63" i="5"/>
  <c r="R76" i="5"/>
  <c r="U76" i="5" s="1"/>
  <c r="M79" i="5"/>
  <c r="P79" i="5" s="1"/>
  <c r="S98" i="5"/>
  <c r="M101" i="5"/>
  <c r="P101" i="5" s="1"/>
  <c r="R121" i="5"/>
  <c r="U121" i="5" s="1"/>
  <c r="I222" i="5"/>
  <c r="K222" i="5" s="1"/>
  <c r="L255" i="5"/>
  <c r="O255" i="5" s="1"/>
  <c r="M324" i="5"/>
  <c r="P324" i="5" s="1"/>
  <c r="K331" i="5"/>
  <c r="P342" i="5"/>
  <c r="S378" i="5"/>
  <c r="S376" i="5" s="1"/>
  <c r="T379" i="5"/>
  <c r="S416" i="5"/>
  <c r="S414" i="5" s="1"/>
  <c r="Q496" i="5"/>
  <c r="Q494" i="5" s="1"/>
  <c r="T494" i="5" s="1"/>
  <c r="Q497" i="5"/>
  <c r="T497" i="5" s="1"/>
  <c r="S645" i="5"/>
  <c r="S643" i="5" s="1"/>
  <c r="P20" i="6"/>
  <c r="P23" i="6"/>
  <c r="P26" i="6"/>
  <c r="P61" i="6"/>
  <c r="O119" i="6"/>
  <c r="K153" i="6"/>
  <c r="I138" i="6"/>
  <c r="K138" i="6" s="1"/>
  <c r="N306" i="6"/>
  <c r="N304" i="6" s="1"/>
  <c r="R321" i="6"/>
  <c r="U321" i="6" s="1"/>
  <c r="U323" i="6"/>
  <c r="K387" i="6"/>
  <c r="I375" i="6"/>
  <c r="P74" i="6"/>
  <c r="M79" i="6"/>
  <c r="P79" i="6" s="1"/>
  <c r="P81" i="6"/>
  <c r="N98" i="6"/>
  <c r="N97" i="6"/>
  <c r="N95" i="6" s="1"/>
  <c r="P119" i="6"/>
  <c r="Q143" i="6"/>
  <c r="T143" i="6" s="1"/>
  <c r="T145" i="6"/>
  <c r="Q142" i="6"/>
  <c r="T142" i="6" s="1"/>
  <c r="Q24" i="6"/>
  <c r="S177" i="6"/>
  <c r="S176" i="6"/>
  <c r="S174" i="6" s="1"/>
  <c r="S24" i="6"/>
  <c r="S21" i="6" s="1"/>
  <c r="S19" i="6" s="1"/>
  <c r="U305" i="6"/>
  <c r="M48" i="4"/>
  <c r="P48" i="4" s="1"/>
  <c r="M75" i="5"/>
  <c r="P75" i="5" s="1"/>
  <c r="O78" i="5"/>
  <c r="R161" i="5"/>
  <c r="U161" i="5" s="1"/>
  <c r="P179" i="5"/>
  <c r="U309" i="5"/>
  <c r="R120" i="6"/>
  <c r="R118" i="6" s="1"/>
  <c r="N120" i="6"/>
  <c r="N118" i="6" s="1"/>
  <c r="M124" i="6"/>
  <c r="P124" i="6" s="1"/>
  <c r="P126" i="6"/>
  <c r="L177" i="6"/>
  <c r="O177" i="6" s="1"/>
  <c r="L176" i="6"/>
  <c r="O179" i="6"/>
  <c r="O305" i="6"/>
  <c r="Q357" i="6"/>
  <c r="T357" i="6" s="1"/>
  <c r="T358" i="6"/>
  <c r="P557" i="6"/>
  <c r="M556" i="6"/>
  <c r="P556" i="6" s="1"/>
  <c r="M75" i="6"/>
  <c r="P75" i="6" s="1"/>
  <c r="S75" i="6"/>
  <c r="S73" i="6" s="1"/>
  <c r="U96" i="6"/>
  <c r="O126" i="6"/>
  <c r="U159" i="6"/>
  <c r="O163" i="6"/>
  <c r="U179" i="6"/>
  <c r="K231" i="6"/>
  <c r="O284" i="6"/>
  <c r="U284" i="6"/>
  <c r="T335" i="6"/>
  <c r="L376" i="6"/>
  <c r="O376" i="6" s="1"/>
  <c r="O378" i="6"/>
  <c r="M62" i="6"/>
  <c r="N75" i="6"/>
  <c r="N73" i="6" s="1"/>
  <c r="M121" i="6"/>
  <c r="P121" i="6" s="1"/>
  <c r="P123" i="6"/>
  <c r="L146" i="6"/>
  <c r="O146" i="6" s="1"/>
  <c r="O159" i="6"/>
  <c r="R160" i="6"/>
  <c r="U160" i="6" s="1"/>
  <c r="M164" i="6"/>
  <c r="P164" i="6" s="1"/>
  <c r="P166" i="6"/>
  <c r="U175" i="6"/>
  <c r="M193" i="6"/>
  <c r="P193" i="6" s="1"/>
  <c r="M189" i="6"/>
  <c r="M269" i="6"/>
  <c r="M360" i="6"/>
  <c r="M359" i="6"/>
  <c r="U622" i="6"/>
  <c r="R619" i="6"/>
  <c r="U619" i="6" s="1"/>
  <c r="R620" i="6"/>
  <c r="L160" i="6"/>
  <c r="O160" i="6" s="1"/>
  <c r="S160" i="6"/>
  <c r="S158" i="6" s="1"/>
  <c r="O175" i="6"/>
  <c r="R176" i="6"/>
  <c r="U176" i="6" s="1"/>
  <c r="M180" i="6"/>
  <c r="P180" i="6" s="1"/>
  <c r="P182" i="6"/>
  <c r="L236" i="6"/>
  <c r="L244" i="6"/>
  <c r="P322" i="6"/>
  <c r="P395" i="6"/>
  <c r="M393" i="6"/>
  <c r="P393" i="6" s="1"/>
  <c r="U119" i="6"/>
  <c r="L327" i="6"/>
  <c r="O327" i="6" s="1"/>
  <c r="O329" i="6"/>
  <c r="M340" i="6"/>
  <c r="P340" i="6" s="1"/>
  <c r="P342" i="6"/>
  <c r="M336" i="6"/>
  <c r="I457" i="6"/>
  <c r="K457" i="6" s="1"/>
  <c r="K458" i="6"/>
  <c r="M494" i="6"/>
  <c r="P494" i="6" s="1"/>
  <c r="P495" i="6"/>
  <c r="Q732" i="6"/>
  <c r="T732" i="6" s="1"/>
  <c r="Q731" i="6"/>
  <c r="Q729" i="6" s="1"/>
  <c r="I266" i="6"/>
  <c r="K266" i="6" s="1"/>
  <c r="J504" i="6"/>
  <c r="J493" i="6" s="1"/>
  <c r="K506" i="6"/>
  <c r="U272" i="6"/>
  <c r="T495" i="6"/>
  <c r="R764" i="6"/>
  <c r="U764" i="6" s="1"/>
  <c r="U766" i="6"/>
  <c r="Q393" i="6"/>
  <c r="T393" i="6" s="1"/>
  <c r="L535" i="6"/>
  <c r="O535" i="6" s="1"/>
  <c r="R535" i="6"/>
  <c r="U535" i="6" s="1"/>
  <c r="U536" i="6"/>
  <c r="T192" i="6"/>
  <c r="T272" i="6"/>
  <c r="O288" i="6"/>
  <c r="O309" i="6"/>
  <c r="U309" i="6"/>
  <c r="O312" i="6"/>
  <c r="I320" i="6"/>
  <c r="K320" i="6" s="1"/>
  <c r="M323" i="6"/>
  <c r="P323" i="6" s="1"/>
  <c r="P329" i="6"/>
  <c r="N336" i="6"/>
  <c r="N334" i="6" s="1"/>
  <c r="S378" i="6"/>
  <c r="S376" i="6" s="1"/>
  <c r="L393" i="6"/>
  <c r="O393" i="6" s="1"/>
  <c r="U419" i="6"/>
  <c r="R416" i="6"/>
  <c r="N520" i="6"/>
  <c r="N516" i="6"/>
  <c r="N514" i="6" s="1"/>
  <c r="O578" i="6"/>
  <c r="L600" i="6"/>
  <c r="O600" i="6" s="1"/>
  <c r="O339" i="6"/>
  <c r="M617" i="6"/>
  <c r="P617" i="6" s="1"/>
  <c r="T648" i="6"/>
  <c r="Q645" i="6"/>
  <c r="T645" i="6" s="1"/>
  <c r="Q646" i="6"/>
  <c r="T646" i="6" s="1"/>
  <c r="I702" i="6"/>
  <c r="K702" i="6" s="1"/>
  <c r="K728" i="6"/>
  <c r="J458" i="6"/>
  <c r="J457" i="6" s="1"/>
  <c r="K773" i="6"/>
  <c r="I759" i="6"/>
  <c r="K759" i="6" s="1"/>
  <c r="L336" i="6"/>
  <c r="Q378" i="6"/>
  <c r="S417" i="6"/>
  <c r="K424" i="6"/>
  <c r="O557" i="6"/>
  <c r="T644" i="6"/>
  <c r="S645" i="6"/>
  <c r="S643" i="6" s="1"/>
  <c r="O716" i="6"/>
  <c r="Q694" i="6"/>
  <c r="T694" i="6" s="1"/>
  <c r="K441" i="6"/>
  <c r="L494" i="6"/>
  <c r="O494" i="6" s="1"/>
  <c r="R494" i="6"/>
  <c r="U494" i="6" s="1"/>
  <c r="Q535" i="6"/>
  <c r="T535" i="6" s="1"/>
  <c r="Q577" i="6"/>
  <c r="T577" i="6" s="1"/>
  <c r="Q600" i="6"/>
  <c r="T600" i="6" s="1"/>
  <c r="M643" i="6"/>
  <c r="P643" i="6" s="1"/>
  <c r="M691" i="6"/>
  <c r="P691" i="6" s="1"/>
  <c r="Q693" i="6"/>
  <c r="T693" i="6" s="1"/>
  <c r="Q715" i="6"/>
  <c r="T715" i="6" s="1"/>
  <c r="L761" i="6"/>
  <c r="O761" i="6" s="1"/>
  <c r="R761" i="6"/>
  <c r="U761" i="6" s="1"/>
  <c r="Q496" i="6"/>
  <c r="T496" i="6" s="1"/>
  <c r="R645" i="6"/>
  <c r="U645" i="6" s="1"/>
  <c r="R693" i="6"/>
  <c r="Q763" i="6"/>
  <c r="O123" i="5"/>
  <c r="L121" i="5"/>
  <c r="O121" i="5" s="1"/>
  <c r="U499" i="3"/>
  <c r="Q645" i="3"/>
  <c r="T645" i="3" s="1"/>
  <c r="Q693" i="3"/>
  <c r="Q691" i="3" s="1"/>
  <c r="Q97" i="4"/>
  <c r="T97" i="4" s="1"/>
  <c r="L161" i="4"/>
  <c r="O161" i="4" s="1"/>
  <c r="S176" i="4"/>
  <c r="S174" i="4" s="1"/>
  <c r="P270" i="4"/>
  <c r="S416" i="4"/>
  <c r="S414" i="4" s="1"/>
  <c r="P100" i="5"/>
  <c r="M98" i="5"/>
  <c r="P98" i="5" s="1"/>
  <c r="M124" i="5"/>
  <c r="P124" i="5" s="1"/>
  <c r="N190" i="5"/>
  <c r="O190" i="5" s="1"/>
  <c r="N189" i="5"/>
  <c r="N187" i="5" s="1"/>
  <c r="I457" i="5"/>
  <c r="K457" i="5" s="1"/>
  <c r="M517" i="5"/>
  <c r="P517" i="5" s="1"/>
  <c r="P519" i="5"/>
  <c r="M516" i="5"/>
  <c r="P516" i="5" s="1"/>
  <c r="S160" i="2"/>
  <c r="S158" i="2" s="1"/>
  <c r="M520" i="4"/>
  <c r="P520" i="4" s="1"/>
  <c r="N97" i="5"/>
  <c r="N95" i="5" s="1"/>
  <c r="N98" i="5"/>
  <c r="Q160" i="5"/>
  <c r="T160" i="5" s="1"/>
  <c r="Q161" i="5"/>
  <c r="T161" i="5" s="1"/>
  <c r="K293" i="5"/>
  <c r="I282" i="5"/>
  <c r="K282" i="5" s="1"/>
  <c r="N323" i="5"/>
  <c r="N321" i="5" s="1"/>
  <c r="M120" i="4"/>
  <c r="P120" i="4" s="1"/>
  <c r="P329" i="4"/>
  <c r="M327" i="4"/>
  <c r="P327" i="4" s="1"/>
  <c r="R379" i="4"/>
  <c r="U379" i="4" s="1"/>
  <c r="R378" i="4"/>
  <c r="U378" i="4" s="1"/>
  <c r="K779" i="4"/>
  <c r="M177" i="5"/>
  <c r="M176" i="5"/>
  <c r="M174" i="5" s="1"/>
  <c r="I243" i="5"/>
  <c r="K243" i="5" s="1"/>
  <c r="N270" i="5"/>
  <c r="P270" i="5" s="1"/>
  <c r="N269" i="5"/>
  <c r="N267" i="5" s="1"/>
  <c r="K782" i="5"/>
  <c r="L289" i="4"/>
  <c r="O289" i="4" s="1"/>
  <c r="N142" i="5"/>
  <c r="N140" i="5" s="1"/>
  <c r="N143" i="5"/>
  <c r="P143" i="5" s="1"/>
  <c r="Q269" i="5"/>
  <c r="Q267" i="5" s="1"/>
  <c r="Q270" i="5"/>
  <c r="T270" i="5" s="1"/>
  <c r="M323" i="5"/>
  <c r="M190" i="5"/>
  <c r="M189" i="5"/>
  <c r="M187" i="5" s="1"/>
  <c r="L160" i="4"/>
  <c r="L158" i="4" s="1"/>
  <c r="O158" i="4" s="1"/>
  <c r="T145" i="5"/>
  <c r="Q143" i="5"/>
  <c r="T143" i="5" s="1"/>
  <c r="O50" i="5"/>
  <c r="O326" i="5"/>
  <c r="K690" i="5"/>
  <c r="S24" i="5"/>
  <c r="S21" i="5" s="1"/>
  <c r="S19" i="5" s="1"/>
  <c r="L98" i="5"/>
  <c r="O98" i="5" s="1"/>
  <c r="U190" i="5"/>
  <c r="L223" i="5"/>
  <c r="O223" i="5" s="1"/>
  <c r="L236" i="5"/>
  <c r="K252" i="5"/>
  <c r="Q619" i="5"/>
  <c r="T619" i="5" s="1"/>
  <c r="J703" i="5"/>
  <c r="I83" i="5"/>
  <c r="K83" i="5" s="1"/>
  <c r="O145" i="5"/>
  <c r="L215" i="5"/>
  <c r="O215" i="5" s="1"/>
  <c r="L146" i="5"/>
  <c r="O146" i="5" s="1"/>
  <c r="M164" i="5"/>
  <c r="P164" i="5" s="1"/>
  <c r="I173" i="5"/>
  <c r="K173" i="5" s="1"/>
  <c r="I242" i="5"/>
  <c r="K242" i="5" s="1"/>
  <c r="L237" i="5"/>
  <c r="T734" i="5"/>
  <c r="K779" i="5"/>
  <c r="Q187" i="5"/>
  <c r="T121" i="5"/>
  <c r="Q645" i="4"/>
  <c r="T645" i="4" s="1"/>
  <c r="I196" i="5"/>
  <c r="K196" i="5" s="1"/>
  <c r="P68" i="3"/>
  <c r="Q306" i="3"/>
  <c r="Q304" i="3" s="1"/>
  <c r="P100" i="4"/>
  <c r="Q24" i="5"/>
  <c r="K85" i="5"/>
  <c r="T123" i="5"/>
  <c r="K154" i="5"/>
  <c r="N176" i="5"/>
  <c r="N177" i="5"/>
  <c r="K210" i="5"/>
  <c r="K214" i="5"/>
  <c r="U272" i="5"/>
  <c r="L286" i="5"/>
  <c r="O286" i="5" s="1"/>
  <c r="P362" i="5"/>
  <c r="M359" i="5"/>
  <c r="M357" i="5" s="1"/>
  <c r="Q645" i="5"/>
  <c r="T645" i="5" s="1"/>
  <c r="T648" i="5"/>
  <c r="R764" i="5"/>
  <c r="U764" i="5" s="1"/>
  <c r="R763" i="5"/>
  <c r="U763" i="5" s="1"/>
  <c r="N233" i="1"/>
  <c r="O233" i="1" s="1"/>
  <c r="J703" i="2"/>
  <c r="L177" i="3"/>
  <c r="O177" i="3" s="1"/>
  <c r="M176" i="3"/>
  <c r="P176" i="3" s="1"/>
  <c r="S306" i="3"/>
  <c r="S304" i="3" s="1"/>
  <c r="K728" i="3"/>
  <c r="Q142" i="4"/>
  <c r="T142" i="4" s="1"/>
  <c r="T145" i="4"/>
  <c r="R161" i="4"/>
  <c r="U161" i="4" s="1"/>
  <c r="L164" i="4"/>
  <c r="O164" i="4" s="1"/>
  <c r="L236" i="4"/>
  <c r="K458" i="4"/>
  <c r="I759" i="4"/>
  <c r="K759" i="4" s="1"/>
  <c r="N51" i="5"/>
  <c r="R98" i="5"/>
  <c r="U98" i="5" s="1"/>
  <c r="I117" i="5"/>
  <c r="K117" i="5" s="1"/>
  <c r="L120" i="5"/>
  <c r="S120" i="5"/>
  <c r="I138" i="5"/>
  <c r="K138" i="5" s="1"/>
  <c r="L142" i="5"/>
  <c r="L143" i="5"/>
  <c r="M160" i="5"/>
  <c r="P160" i="5" s="1"/>
  <c r="L160" i="5"/>
  <c r="L158" i="5" s="1"/>
  <c r="O158" i="5" s="1"/>
  <c r="Q176" i="5"/>
  <c r="U192" i="5"/>
  <c r="L244" i="5"/>
  <c r="O244" i="5" s="1"/>
  <c r="O275" i="5"/>
  <c r="M285" i="5"/>
  <c r="M286" i="5"/>
  <c r="P286" i="5" s="1"/>
  <c r="I333" i="5"/>
  <c r="J333" i="5"/>
  <c r="Q378" i="5"/>
  <c r="S497" i="5"/>
  <c r="K504" i="5"/>
  <c r="K631" i="5"/>
  <c r="K630" i="5"/>
  <c r="U648" i="5"/>
  <c r="R646" i="5"/>
  <c r="U646" i="5" s="1"/>
  <c r="J702" i="5"/>
  <c r="U766" i="5"/>
  <c r="Q417" i="5"/>
  <c r="T417" i="5" s="1"/>
  <c r="T419" i="5"/>
  <c r="S97" i="4"/>
  <c r="S95" i="4" s="1"/>
  <c r="R120" i="4"/>
  <c r="L124" i="4"/>
  <c r="O124" i="4" s="1"/>
  <c r="L176" i="4"/>
  <c r="L174" i="4" s="1"/>
  <c r="M269" i="4"/>
  <c r="M267" i="4" s="1"/>
  <c r="K370" i="4"/>
  <c r="T648" i="4"/>
  <c r="K781" i="4"/>
  <c r="R97" i="5"/>
  <c r="U97" i="5" s="1"/>
  <c r="T100" i="5"/>
  <c r="M120" i="5"/>
  <c r="P120" i="5" s="1"/>
  <c r="P123" i="5"/>
  <c r="Q177" i="5"/>
  <c r="T177" i="5" s="1"/>
  <c r="O195" i="5"/>
  <c r="L234" i="5"/>
  <c r="I266" i="5"/>
  <c r="K266" i="5" s="1"/>
  <c r="R269" i="5"/>
  <c r="R267" i="5" s="1"/>
  <c r="O272" i="5"/>
  <c r="M360" i="5"/>
  <c r="P360" i="5" s="1"/>
  <c r="R378" i="5"/>
  <c r="U378" i="5" s="1"/>
  <c r="T381" i="5"/>
  <c r="Q416" i="5"/>
  <c r="T416" i="5" s="1"/>
  <c r="U419" i="5"/>
  <c r="Q693" i="5"/>
  <c r="T693" i="5" s="1"/>
  <c r="K773" i="5"/>
  <c r="I759" i="5"/>
  <c r="K759" i="5" s="1"/>
  <c r="I117" i="4"/>
  <c r="K117" i="4" s="1"/>
  <c r="S732" i="4"/>
  <c r="T766" i="4"/>
  <c r="L48" i="5"/>
  <c r="O48" i="5" s="1"/>
  <c r="T163" i="5"/>
  <c r="L24" i="5"/>
  <c r="R189" i="5"/>
  <c r="O192" i="5"/>
  <c r="L269" i="5"/>
  <c r="O269" i="5" s="1"/>
  <c r="S269" i="5"/>
  <c r="T272" i="5"/>
  <c r="T309" i="5"/>
  <c r="K441" i="5"/>
  <c r="I424" i="5"/>
  <c r="K370" i="3"/>
  <c r="K277" i="4"/>
  <c r="R24" i="5"/>
  <c r="R21" i="5" s="1"/>
  <c r="R19" i="5" s="1"/>
  <c r="L27" i="5"/>
  <c r="O27" i="5" s="1"/>
  <c r="K110" i="5"/>
  <c r="Q140" i="5"/>
  <c r="T140" i="5" s="1"/>
  <c r="R142" i="5"/>
  <c r="U142" i="5" s="1"/>
  <c r="R143" i="5"/>
  <c r="U143" i="5" s="1"/>
  <c r="O163" i="5"/>
  <c r="U163" i="5"/>
  <c r="K170" i="5"/>
  <c r="L189" i="5"/>
  <c r="S189" i="5"/>
  <c r="T189" i="5" s="1"/>
  <c r="T192" i="5"/>
  <c r="M269" i="5"/>
  <c r="M267" i="5" s="1"/>
  <c r="U270" i="5"/>
  <c r="M306" i="5"/>
  <c r="P306" i="5" s="1"/>
  <c r="R417" i="5"/>
  <c r="U417" i="5" s="1"/>
  <c r="J675" i="5"/>
  <c r="U696" i="5"/>
  <c r="R694" i="5"/>
  <c r="L516" i="5"/>
  <c r="O516" i="5" s="1"/>
  <c r="S620" i="5"/>
  <c r="T620" i="5" s="1"/>
  <c r="T696" i="5"/>
  <c r="S732" i="5"/>
  <c r="U732" i="5" s="1"/>
  <c r="K775" i="5"/>
  <c r="K633" i="5"/>
  <c r="K728" i="5"/>
  <c r="U176" i="4"/>
  <c r="R174" i="4"/>
  <c r="U174" i="4" s="1"/>
  <c r="M146" i="5"/>
  <c r="P146" i="5" s="1"/>
  <c r="P148" i="5"/>
  <c r="M27" i="5"/>
  <c r="P27" i="5" s="1"/>
  <c r="Q645" i="2"/>
  <c r="T645" i="2" s="1"/>
  <c r="I424" i="3"/>
  <c r="Q379" i="4"/>
  <c r="Q378" i="4"/>
  <c r="Q376" i="4" s="1"/>
  <c r="M20" i="5"/>
  <c r="P26" i="5"/>
  <c r="Q45" i="5"/>
  <c r="T45" i="5" s="1"/>
  <c r="N63" i="5"/>
  <c r="O63" i="5" s="1"/>
  <c r="P65" i="5"/>
  <c r="N62" i="5"/>
  <c r="N24" i="5"/>
  <c r="N22" i="5" s="1"/>
  <c r="O65" i="5"/>
  <c r="U175" i="5"/>
  <c r="N310" i="5"/>
  <c r="N306" i="5"/>
  <c r="N304" i="5" s="1"/>
  <c r="N27" i="5"/>
  <c r="N25" i="5" s="1"/>
  <c r="O522" i="2"/>
  <c r="L146" i="3"/>
  <c r="O146" i="3" s="1"/>
  <c r="U119" i="5"/>
  <c r="U160" i="5"/>
  <c r="R158" i="5"/>
  <c r="U158" i="5" s="1"/>
  <c r="L62" i="3"/>
  <c r="L60" i="3" s="1"/>
  <c r="O100" i="4"/>
  <c r="U100" i="4"/>
  <c r="O329" i="4"/>
  <c r="L327" i="4"/>
  <c r="O327" i="4" s="1"/>
  <c r="N20" i="5"/>
  <c r="P50" i="5"/>
  <c r="M47" i="5"/>
  <c r="M24" i="5"/>
  <c r="M22" i="5" s="1"/>
  <c r="Q95" i="5"/>
  <c r="T95" i="5" s="1"/>
  <c r="T97" i="5"/>
  <c r="P268" i="5"/>
  <c r="I375" i="5"/>
  <c r="K387" i="5"/>
  <c r="P159" i="5"/>
  <c r="K710" i="3"/>
  <c r="M63" i="4"/>
  <c r="P63" i="4" s="1"/>
  <c r="L75" i="4"/>
  <c r="O75" i="4" s="1"/>
  <c r="P46" i="5"/>
  <c r="T74" i="5"/>
  <c r="I84" i="5"/>
  <c r="O179" i="5"/>
  <c r="L176" i="5"/>
  <c r="L180" i="5"/>
  <c r="O180" i="5" s="1"/>
  <c r="O182" i="5"/>
  <c r="K366" i="5"/>
  <c r="L340" i="5"/>
  <c r="O340" i="5" s="1"/>
  <c r="O342" i="5"/>
  <c r="M285" i="3"/>
  <c r="P285" i="3" s="1"/>
  <c r="Q646" i="3"/>
  <c r="T646" i="3" s="1"/>
  <c r="M48" i="5"/>
  <c r="P48" i="5" s="1"/>
  <c r="L177" i="5"/>
  <c r="P291" i="4"/>
  <c r="I424" i="4"/>
  <c r="K424" i="4" s="1"/>
  <c r="S645" i="4"/>
  <c r="S643" i="4" s="1"/>
  <c r="R646" i="4"/>
  <c r="U646" i="4" s="1"/>
  <c r="Q20" i="5"/>
  <c r="M51" i="5"/>
  <c r="P51" i="5" s="1"/>
  <c r="O68" i="5"/>
  <c r="L62" i="5"/>
  <c r="N75" i="5"/>
  <c r="N73" i="5" s="1"/>
  <c r="Q76" i="5"/>
  <c r="T76" i="5" s="1"/>
  <c r="M142" i="5"/>
  <c r="P188" i="5"/>
  <c r="U415" i="5"/>
  <c r="R414" i="5"/>
  <c r="U414" i="5" s="1"/>
  <c r="R577" i="5"/>
  <c r="U577" i="5" s="1"/>
  <c r="U578" i="5"/>
  <c r="L235" i="4"/>
  <c r="O53" i="5"/>
  <c r="L47" i="5"/>
  <c r="Q98" i="5"/>
  <c r="T98" i="5" s="1"/>
  <c r="K241" i="5"/>
  <c r="R321" i="5"/>
  <c r="U321" i="5" s="1"/>
  <c r="U322" i="5"/>
  <c r="T358" i="5"/>
  <c r="Q357" i="5"/>
  <c r="T357" i="5" s="1"/>
  <c r="N359" i="5"/>
  <c r="N357" i="5" s="1"/>
  <c r="N363" i="5"/>
  <c r="L414" i="5"/>
  <c r="O414" i="5" s="1"/>
  <c r="O415" i="5"/>
  <c r="J459" i="5"/>
  <c r="K153" i="4"/>
  <c r="L177" i="4"/>
  <c r="K775" i="4"/>
  <c r="K782" i="4"/>
  <c r="I239" i="5"/>
  <c r="K239" i="5" s="1"/>
  <c r="K261" i="5"/>
  <c r="I254" i="5"/>
  <c r="K254" i="5" s="1"/>
  <c r="R283" i="5"/>
  <c r="U283" i="5" s="1"/>
  <c r="U284" i="5"/>
  <c r="P305" i="5"/>
  <c r="O322" i="5"/>
  <c r="L336" i="5"/>
  <c r="L334" i="5" s="1"/>
  <c r="K347" i="5"/>
  <c r="P394" i="5"/>
  <c r="M393" i="5"/>
  <c r="P393" i="5" s="1"/>
  <c r="R600" i="5"/>
  <c r="U600" i="5" s="1"/>
  <c r="U601" i="5"/>
  <c r="N97" i="4"/>
  <c r="N95" i="4" s="1"/>
  <c r="S160" i="4"/>
  <c r="S158" i="4" s="1"/>
  <c r="P179" i="4"/>
  <c r="M176" i="4"/>
  <c r="M174" i="4" s="1"/>
  <c r="M273" i="4"/>
  <c r="P273" i="4" s="1"/>
  <c r="M306" i="4"/>
  <c r="P306" i="4" s="1"/>
  <c r="P337" i="4"/>
  <c r="U419" i="4"/>
  <c r="Q75" i="5"/>
  <c r="T75" i="5" s="1"/>
  <c r="K86" i="5"/>
  <c r="P175" i="5"/>
  <c r="U495" i="5"/>
  <c r="P143" i="4"/>
  <c r="L324" i="4"/>
  <c r="O324" i="4" s="1"/>
  <c r="J352" i="4"/>
  <c r="R416" i="4"/>
  <c r="R414" i="4" s="1"/>
  <c r="U414" i="4" s="1"/>
  <c r="P519" i="4"/>
  <c r="I616" i="4"/>
  <c r="K616" i="4" s="1"/>
  <c r="S25" i="5"/>
  <c r="T78" i="5"/>
  <c r="T141" i="5"/>
  <c r="P145" i="5"/>
  <c r="R177" i="5"/>
  <c r="U177" i="5" s="1"/>
  <c r="L204" i="5"/>
  <c r="O204" i="5" s="1"/>
  <c r="N337" i="5"/>
  <c r="P337" i="5" s="1"/>
  <c r="P339" i="5"/>
  <c r="N336" i="5"/>
  <c r="N334" i="5" s="1"/>
  <c r="K372" i="5"/>
  <c r="O619" i="5"/>
  <c r="L617" i="5"/>
  <c r="O617" i="5" s="1"/>
  <c r="P192" i="5"/>
  <c r="P195" i="5"/>
  <c r="P272" i="5"/>
  <c r="P275" i="5"/>
  <c r="U305" i="5"/>
  <c r="N324" i="5"/>
  <c r="O339" i="5"/>
  <c r="J344" i="5"/>
  <c r="L360" i="5"/>
  <c r="O360" i="5" s="1"/>
  <c r="O365" i="5"/>
  <c r="K370" i="5"/>
  <c r="O377" i="5"/>
  <c r="M494" i="5"/>
  <c r="P494" i="5" s="1"/>
  <c r="R514" i="5"/>
  <c r="U514" i="5" s="1"/>
  <c r="N516" i="5"/>
  <c r="N514" i="5" s="1"/>
  <c r="O522" i="5"/>
  <c r="R535" i="5"/>
  <c r="U535" i="5" s="1"/>
  <c r="O536" i="5"/>
  <c r="O557" i="5"/>
  <c r="L761" i="5"/>
  <c r="O761" i="5" s="1"/>
  <c r="O763" i="5"/>
  <c r="P578" i="5"/>
  <c r="M577" i="5"/>
  <c r="P577" i="5" s="1"/>
  <c r="Q283" i="5"/>
  <c r="T283" i="5" s="1"/>
  <c r="S334" i="5"/>
  <c r="L337" i="5"/>
  <c r="J504" i="5"/>
  <c r="J493" i="5" s="1"/>
  <c r="L520" i="5"/>
  <c r="O520" i="5" s="1"/>
  <c r="P601" i="5"/>
  <c r="M600" i="5"/>
  <c r="P600" i="5" s="1"/>
  <c r="O291" i="5"/>
  <c r="L285" i="5"/>
  <c r="S514" i="5"/>
  <c r="T692" i="5"/>
  <c r="N285" i="5"/>
  <c r="N283" i="5" s="1"/>
  <c r="L359" i="5"/>
  <c r="U381" i="5"/>
  <c r="T536" i="5"/>
  <c r="T601" i="5"/>
  <c r="Q600" i="5"/>
  <c r="T600" i="5" s="1"/>
  <c r="U622" i="5"/>
  <c r="N535" i="5"/>
  <c r="Q556" i="5"/>
  <c r="T556" i="5" s="1"/>
  <c r="O601" i="5"/>
  <c r="T622" i="5"/>
  <c r="T644" i="5"/>
  <c r="P645" i="5"/>
  <c r="M691" i="5"/>
  <c r="P691" i="5" s="1"/>
  <c r="P693" i="5"/>
  <c r="K708" i="5"/>
  <c r="Q715" i="5"/>
  <c r="T715" i="5" s="1"/>
  <c r="T717" i="5"/>
  <c r="K706" i="5"/>
  <c r="I702" i="5"/>
  <c r="K627" i="5"/>
  <c r="R731" i="5"/>
  <c r="U731" i="5" s="1"/>
  <c r="U734" i="5"/>
  <c r="S763" i="5"/>
  <c r="S761" i="5" s="1"/>
  <c r="S694" i="5"/>
  <c r="R645" i="5"/>
  <c r="R693" i="5"/>
  <c r="Q763" i="5"/>
  <c r="Q496" i="3"/>
  <c r="T496" i="3" s="1"/>
  <c r="N75" i="4"/>
  <c r="N73" i="4" s="1"/>
  <c r="N98" i="4"/>
  <c r="K155" i="4"/>
  <c r="M160" i="4"/>
  <c r="P160" i="4" s="1"/>
  <c r="P163" i="4"/>
  <c r="P166" i="4"/>
  <c r="O182" i="4"/>
  <c r="L180" i="4"/>
  <c r="O180" i="4" s="1"/>
  <c r="L215" i="4"/>
  <c r="O215" i="4" s="1"/>
  <c r="M323" i="4"/>
  <c r="M321" i="4" s="1"/>
  <c r="P321" i="4" s="1"/>
  <c r="M324" i="4"/>
  <c r="P324" i="4" s="1"/>
  <c r="S619" i="4"/>
  <c r="S617" i="4" s="1"/>
  <c r="S620" i="4"/>
  <c r="I139" i="2"/>
  <c r="K139" i="2" s="1"/>
  <c r="T309" i="3"/>
  <c r="P326" i="3"/>
  <c r="I173" i="4"/>
  <c r="K173" i="4" s="1"/>
  <c r="M180" i="4"/>
  <c r="P180" i="4" s="1"/>
  <c r="P182" i="4"/>
  <c r="P195" i="4"/>
  <c r="M193" i="4"/>
  <c r="P193" i="4" s="1"/>
  <c r="L237" i="4"/>
  <c r="K331" i="4"/>
  <c r="I320" i="4"/>
  <c r="K320" i="4" s="1"/>
  <c r="M340" i="4"/>
  <c r="P340" i="4" s="1"/>
  <c r="P342" i="4"/>
  <c r="N517" i="4"/>
  <c r="N516" i="4"/>
  <c r="N514" i="4" s="1"/>
  <c r="L164" i="3"/>
  <c r="O164" i="3" s="1"/>
  <c r="K109" i="4"/>
  <c r="Q121" i="4"/>
  <c r="T121" i="4" s="1"/>
  <c r="T123" i="4"/>
  <c r="S142" i="4"/>
  <c r="S140" i="4" s="1"/>
  <c r="Q160" i="4"/>
  <c r="U179" i="4"/>
  <c r="R177" i="4"/>
  <c r="U177" i="4" s="1"/>
  <c r="K294" i="4"/>
  <c r="I281" i="4"/>
  <c r="K281" i="4" s="1"/>
  <c r="M336" i="4"/>
  <c r="M334" i="4" s="1"/>
  <c r="Q732" i="4"/>
  <c r="Q731" i="4"/>
  <c r="Q729" i="4" s="1"/>
  <c r="T729" i="4" s="1"/>
  <c r="R176" i="3"/>
  <c r="U176" i="3" s="1"/>
  <c r="I214" i="3"/>
  <c r="K214" i="3" s="1"/>
  <c r="Q307" i="4"/>
  <c r="K315" i="4"/>
  <c r="I303" i="4"/>
  <c r="K303" i="4" s="1"/>
  <c r="K708" i="4"/>
  <c r="I690" i="4"/>
  <c r="K690" i="4" s="1"/>
  <c r="S620" i="1"/>
  <c r="N177" i="4"/>
  <c r="P177" i="4" s="1"/>
  <c r="N176" i="4"/>
  <c r="L120" i="3"/>
  <c r="O120" i="3" s="1"/>
  <c r="P50" i="4"/>
  <c r="N307" i="4"/>
  <c r="N306" i="4"/>
  <c r="N304" i="4" s="1"/>
  <c r="O312" i="4"/>
  <c r="L310" i="4"/>
  <c r="O310" i="4" s="1"/>
  <c r="T696" i="4"/>
  <c r="Q694" i="4"/>
  <c r="Q693" i="4"/>
  <c r="T693" i="4" s="1"/>
  <c r="O179" i="4"/>
  <c r="P190" i="4"/>
  <c r="K786" i="4"/>
  <c r="M189" i="4"/>
  <c r="M187" i="4" s="1"/>
  <c r="N359" i="4"/>
  <c r="N357" i="4" s="1"/>
  <c r="K630" i="4"/>
  <c r="J702" i="4"/>
  <c r="P272" i="4"/>
  <c r="J333" i="4"/>
  <c r="K710" i="4"/>
  <c r="K633" i="4"/>
  <c r="K785" i="4"/>
  <c r="R95" i="4"/>
  <c r="U95" i="4" s="1"/>
  <c r="U97" i="4"/>
  <c r="J375" i="4"/>
  <c r="K387" i="4"/>
  <c r="R142" i="2"/>
  <c r="U142" i="2" s="1"/>
  <c r="R620" i="3"/>
  <c r="O53" i="4"/>
  <c r="P68" i="4"/>
  <c r="O123" i="4"/>
  <c r="L120" i="4"/>
  <c r="L118" i="4" s="1"/>
  <c r="O118" i="4" s="1"/>
  <c r="N120" i="4"/>
  <c r="N118" i="4" s="1"/>
  <c r="N189" i="4"/>
  <c r="N187" i="4" s="1"/>
  <c r="N193" i="4"/>
  <c r="U622" i="4"/>
  <c r="R619" i="4"/>
  <c r="R617" i="4" s="1"/>
  <c r="R620" i="4"/>
  <c r="K369" i="3"/>
  <c r="P53" i="4"/>
  <c r="P65" i="4"/>
  <c r="S75" i="4"/>
  <c r="S73" i="4" s="1"/>
  <c r="M97" i="4"/>
  <c r="P97" i="4" s="1"/>
  <c r="R98" i="4"/>
  <c r="U98" i="4" s="1"/>
  <c r="U121" i="4"/>
  <c r="M121" i="4"/>
  <c r="P121" i="4" s="1"/>
  <c r="P123" i="4"/>
  <c r="S270" i="4"/>
  <c r="S269" i="4"/>
  <c r="S267" i="4" s="1"/>
  <c r="N286" i="4"/>
  <c r="N285" i="4"/>
  <c r="N283" i="4" s="1"/>
  <c r="N336" i="4"/>
  <c r="N334" i="4" s="1"/>
  <c r="K782" i="3"/>
  <c r="K154" i="4"/>
  <c r="I139" i="4"/>
  <c r="K139" i="4" s="1"/>
  <c r="Q174" i="4"/>
  <c r="T174" i="4" s="1"/>
  <c r="T176" i="4"/>
  <c r="L270" i="4"/>
  <c r="O270" i="4" s="1"/>
  <c r="L269" i="4"/>
  <c r="O269" i="4" s="1"/>
  <c r="O272" i="4"/>
  <c r="R764" i="4"/>
  <c r="U764" i="4" s="1"/>
  <c r="U766" i="4"/>
  <c r="R763" i="4"/>
  <c r="R761" i="4" s="1"/>
  <c r="M79" i="3"/>
  <c r="P79" i="3" s="1"/>
  <c r="I266" i="3"/>
  <c r="K266" i="3" s="1"/>
  <c r="Q177" i="4"/>
  <c r="T177" i="4" s="1"/>
  <c r="T179" i="4"/>
  <c r="O519" i="4"/>
  <c r="L517" i="4"/>
  <c r="O517" i="4" s="1"/>
  <c r="L516" i="4"/>
  <c r="L520" i="4"/>
  <c r="O520" i="4" s="1"/>
  <c r="L160" i="1"/>
  <c r="U145" i="2"/>
  <c r="R177" i="3"/>
  <c r="U177" i="3" s="1"/>
  <c r="J702" i="3"/>
  <c r="L66" i="4"/>
  <c r="O66" i="4" s="1"/>
  <c r="M75" i="4"/>
  <c r="P103" i="4"/>
  <c r="Q118" i="4"/>
  <c r="O148" i="4"/>
  <c r="L142" i="4"/>
  <c r="L140" i="4" s="1"/>
  <c r="K170" i="4"/>
  <c r="I157" i="4"/>
  <c r="K157" i="4" s="1"/>
  <c r="P148" i="4"/>
  <c r="K199" i="4"/>
  <c r="U381" i="4"/>
  <c r="Q416" i="4"/>
  <c r="T416" i="4" s="1"/>
  <c r="Q764" i="4"/>
  <c r="T764" i="4" s="1"/>
  <c r="U123" i="4"/>
  <c r="M142" i="4"/>
  <c r="M140" i="4" s="1"/>
  <c r="K196" i="4"/>
  <c r="P339" i="4"/>
  <c r="K504" i="4"/>
  <c r="J675" i="4"/>
  <c r="P192" i="4"/>
  <c r="I222" i="4"/>
  <c r="K222" i="4" s="1"/>
  <c r="P288" i="4"/>
  <c r="P312" i="4"/>
  <c r="O339" i="4"/>
  <c r="K632" i="4"/>
  <c r="K728" i="4"/>
  <c r="K780" i="4"/>
  <c r="P126" i="4"/>
  <c r="L255" i="4"/>
  <c r="O255" i="4" s="1"/>
  <c r="I282" i="4"/>
  <c r="K282" i="4" s="1"/>
  <c r="O362" i="4"/>
  <c r="U696" i="4"/>
  <c r="T734" i="4"/>
  <c r="L63" i="4"/>
  <c r="O63" i="4" s="1"/>
  <c r="O65" i="4"/>
  <c r="L193" i="4"/>
  <c r="O193" i="4" s="1"/>
  <c r="O195" i="4"/>
  <c r="S307" i="4"/>
  <c r="T309" i="4"/>
  <c r="S306" i="4"/>
  <c r="T306" i="4" s="1"/>
  <c r="Q321" i="4"/>
  <c r="T321" i="4" s="1"/>
  <c r="T322" i="4"/>
  <c r="S378" i="4"/>
  <c r="S376" i="4" s="1"/>
  <c r="S379" i="4"/>
  <c r="T381" i="4"/>
  <c r="S269" i="3"/>
  <c r="S267" i="3" s="1"/>
  <c r="Q25" i="4"/>
  <c r="T25" i="4" s="1"/>
  <c r="T27" i="4"/>
  <c r="L45" i="4"/>
  <c r="S24" i="4"/>
  <c r="L79" i="4"/>
  <c r="O79" i="4" s="1"/>
  <c r="O81" i="4"/>
  <c r="T96" i="4"/>
  <c r="U145" i="4"/>
  <c r="R142" i="4"/>
  <c r="N161" i="4"/>
  <c r="N24" i="4"/>
  <c r="L244" i="4"/>
  <c r="L234" i="4"/>
  <c r="T272" i="4"/>
  <c r="Q270" i="4"/>
  <c r="Q269" i="4"/>
  <c r="M193" i="2"/>
  <c r="P193" i="2" s="1"/>
  <c r="M189" i="2"/>
  <c r="M187" i="2" s="1"/>
  <c r="R142" i="3"/>
  <c r="U142" i="3" s="1"/>
  <c r="R143" i="3"/>
  <c r="U143" i="3" s="1"/>
  <c r="O195" i="3"/>
  <c r="L193" i="3"/>
  <c r="O193" i="3" s="1"/>
  <c r="L327" i="3"/>
  <c r="O327" i="3" s="1"/>
  <c r="O329" i="3"/>
  <c r="N51" i="4"/>
  <c r="N27" i="4"/>
  <c r="N25" i="4" s="1"/>
  <c r="N47" i="4"/>
  <c r="N45" i="4" s="1"/>
  <c r="L62" i="4"/>
  <c r="L76" i="4"/>
  <c r="O76" i="4" s="1"/>
  <c r="O78" i="4"/>
  <c r="N160" i="4"/>
  <c r="N158" i="4" s="1"/>
  <c r="K221" i="4"/>
  <c r="I214" i="4"/>
  <c r="K214" i="4" s="1"/>
  <c r="L363" i="4"/>
  <c r="O363" i="4" s="1"/>
  <c r="O365" i="4"/>
  <c r="L359" i="4"/>
  <c r="O495" i="4"/>
  <c r="L494" i="4"/>
  <c r="O494" i="4" s="1"/>
  <c r="R497" i="4"/>
  <c r="U497" i="4" s="1"/>
  <c r="U499" i="4"/>
  <c r="R496" i="4"/>
  <c r="U496" i="4" s="1"/>
  <c r="U163" i="3"/>
  <c r="R161" i="3"/>
  <c r="U161" i="3" s="1"/>
  <c r="R160" i="3"/>
  <c r="U160" i="3" s="1"/>
  <c r="P45" i="4"/>
  <c r="T188" i="4"/>
  <c r="Q187" i="4"/>
  <c r="T187" i="4" s="1"/>
  <c r="N324" i="4"/>
  <c r="N323" i="4"/>
  <c r="N321" i="4" s="1"/>
  <c r="N176" i="2"/>
  <c r="N174" i="2" s="1"/>
  <c r="T100" i="3"/>
  <c r="Q97" i="3"/>
  <c r="Q95" i="3" s="1"/>
  <c r="K110" i="3"/>
  <c r="I94" i="3"/>
  <c r="K94" i="3" s="1"/>
  <c r="S142" i="3"/>
  <c r="S140" i="3" s="1"/>
  <c r="S143" i="3"/>
  <c r="K293" i="3"/>
  <c r="I282" i="3"/>
  <c r="K282" i="3" s="1"/>
  <c r="L520" i="3"/>
  <c r="O520" i="3" s="1"/>
  <c r="Q24" i="4"/>
  <c r="Q45" i="4"/>
  <c r="T45" i="4" s="1"/>
  <c r="T47" i="4"/>
  <c r="K85" i="4"/>
  <c r="I83" i="4"/>
  <c r="R143" i="4"/>
  <c r="U143" i="4" s="1"/>
  <c r="O145" i="4"/>
  <c r="L143" i="4"/>
  <c r="O143" i="4" s="1"/>
  <c r="N146" i="4"/>
  <c r="N142" i="4"/>
  <c r="U159" i="4"/>
  <c r="O175" i="4"/>
  <c r="S190" i="4"/>
  <c r="U358" i="4"/>
  <c r="R357" i="4"/>
  <c r="U357" i="4" s="1"/>
  <c r="R76" i="4"/>
  <c r="U76" i="4" s="1"/>
  <c r="U78" i="4"/>
  <c r="R24" i="4"/>
  <c r="R189" i="3"/>
  <c r="R187" i="3" s="1"/>
  <c r="R190" i="3"/>
  <c r="R45" i="4"/>
  <c r="U45" i="4" s="1"/>
  <c r="U47" i="4"/>
  <c r="N66" i="4"/>
  <c r="N62" i="4"/>
  <c r="N60" i="4" s="1"/>
  <c r="P60" i="4" s="1"/>
  <c r="R75" i="4"/>
  <c r="P268" i="4"/>
  <c r="R190" i="4"/>
  <c r="U192" i="4"/>
  <c r="R189" i="4"/>
  <c r="L48" i="4"/>
  <c r="O48" i="4" s="1"/>
  <c r="O50" i="4"/>
  <c r="L24" i="4"/>
  <c r="R60" i="4"/>
  <c r="U60" i="4" s="1"/>
  <c r="U62" i="4"/>
  <c r="Q76" i="4"/>
  <c r="T76" i="4" s="1"/>
  <c r="T78" i="4"/>
  <c r="L97" i="4"/>
  <c r="O103" i="4"/>
  <c r="N124" i="4"/>
  <c r="T189" i="4"/>
  <c r="N269" i="4"/>
  <c r="N267" i="4" s="1"/>
  <c r="N273" i="4"/>
  <c r="Q304" i="4"/>
  <c r="T305" i="4"/>
  <c r="R306" i="4"/>
  <c r="U309" i="4"/>
  <c r="O48" i="2"/>
  <c r="N120" i="3"/>
  <c r="N118" i="3" s="1"/>
  <c r="L237" i="3"/>
  <c r="L516" i="3"/>
  <c r="O516" i="3" s="1"/>
  <c r="N516" i="3"/>
  <c r="N514" i="3" s="1"/>
  <c r="T619" i="3"/>
  <c r="L27" i="4"/>
  <c r="P175" i="4"/>
  <c r="L190" i="4"/>
  <c r="O190" i="4" s="1"/>
  <c r="O192" i="4"/>
  <c r="R270" i="4"/>
  <c r="U272" i="4"/>
  <c r="O288" i="4"/>
  <c r="L285" i="4"/>
  <c r="L306" i="4"/>
  <c r="O309" i="4"/>
  <c r="L340" i="4"/>
  <c r="O340" i="4" s="1"/>
  <c r="O342" i="4"/>
  <c r="R393" i="4"/>
  <c r="U393" i="4" s="1"/>
  <c r="U394" i="4"/>
  <c r="K505" i="4"/>
  <c r="J504" i="4"/>
  <c r="J493" i="4" s="1"/>
  <c r="T622" i="4"/>
  <c r="Q619" i="4"/>
  <c r="Q620" i="4"/>
  <c r="T76" i="3"/>
  <c r="N97" i="3"/>
  <c r="N95" i="3" s="1"/>
  <c r="L121" i="3"/>
  <c r="O121" i="3" s="1"/>
  <c r="P143" i="3"/>
  <c r="Q158" i="3"/>
  <c r="T158" i="3" s="1"/>
  <c r="M160" i="3"/>
  <c r="M158" i="3" s="1"/>
  <c r="L176" i="3"/>
  <c r="L174" i="3" s="1"/>
  <c r="O174" i="3" s="1"/>
  <c r="L189" i="3"/>
  <c r="L187" i="3" s="1"/>
  <c r="M363" i="3"/>
  <c r="P363" i="3" s="1"/>
  <c r="M24" i="4"/>
  <c r="M27" i="4"/>
  <c r="K86" i="4"/>
  <c r="I84" i="4"/>
  <c r="L146" i="4"/>
  <c r="O146" i="4" s="1"/>
  <c r="J232" i="4"/>
  <c r="J186" i="4" s="1"/>
  <c r="M307" i="4"/>
  <c r="P307" i="4" s="1"/>
  <c r="P309" i="4"/>
  <c r="T307" i="3"/>
  <c r="O326" i="3"/>
  <c r="Q60" i="4"/>
  <c r="T60" i="4" s="1"/>
  <c r="Q73" i="4"/>
  <c r="T73" i="4" s="1"/>
  <c r="L121" i="4"/>
  <c r="O121" i="4" s="1"/>
  <c r="P145" i="4"/>
  <c r="P159" i="4"/>
  <c r="K210" i="4"/>
  <c r="I203" i="4"/>
  <c r="K203" i="4" s="1"/>
  <c r="R269" i="4"/>
  <c r="L273" i="4"/>
  <c r="O273" i="4" s="1"/>
  <c r="O275" i="4"/>
  <c r="L286" i="4"/>
  <c r="O286" i="4" s="1"/>
  <c r="L307" i="4"/>
  <c r="O307" i="4" s="1"/>
  <c r="L336" i="4"/>
  <c r="O394" i="4"/>
  <c r="L393" i="4"/>
  <c r="O393" i="4" s="1"/>
  <c r="Q715" i="4"/>
  <c r="T715" i="4" s="1"/>
  <c r="T717" i="4"/>
  <c r="P76" i="3"/>
  <c r="L236" i="3"/>
  <c r="T270" i="3"/>
  <c r="K347" i="3"/>
  <c r="S497" i="3"/>
  <c r="T497" i="3" s="1"/>
  <c r="J676" i="3"/>
  <c r="T141" i="4"/>
  <c r="L189" i="4"/>
  <c r="Q190" i="4"/>
  <c r="T192" i="4"/>
  <c r="L223" i="4"/>
  <c r="O223" i="4" s="1"/>
  <c r="Q283" i="4"/>
  <c r="T283" i="4" s="1"/>
  <c r="T284" i="4"/>
  <c r="L204" i="4"/>
  <c r="O204" i="4" s="1"/>
  <c r="R334" i="4"/>
  <c r="U334" i="4" s="1"/>
  <c r="O337" i="4"/>
  <c r="K345" i="4"/>
  <c r="I333" i="4"/>
  <c r="T537" i="4"/>
  <c r="Q535" i="4"/>
  <c r="T535" i="4" s="1"/>
  <c r="Q600" i="4"/>
  <c r="T600" i="4" s="1"/>
  <c r="T602" i="4"/>
  <c r="J344" i="4"/>
  <c r="O358" i="4"/>
  <c r="P536" i="4"/>
  <c r="M535" i="4"/>
  <c r="P535" i="4" s="1"/>
  <c r="I239" i="4"/>
  <c r="K239" i="4" s="1"/>
  <c r="K250" i="4"/>
  <c r="I243" i="4"/>
  <c r="K261" i="4"/>
  <c r="I254" i="4"/>
  <c r="K254" i="4" s="1"/>
  <c r="M285" i="4"/>
  <c r="P285" i="4" s="1"/>
  <c r="K347" i="4"/>
  <c r="P358" i="4"/>
  <c r="N360" i="4"/>
  <c r="P360" i="4" s="1"/>
  <c r="P362" i="4"/>
  <c r="U495" i="4"/>
  <c r="T499" i="4"/>
  <c r="Q496" i="4"/>
  <c r="Q497" i="4"/>
  <c r="T497" i="4" s="1"/>
  <c r="I366" i="4"/>
  <c r="K366" i="4" s="1"/>
  <c r="L414" i="4"/>
  <c r="O414" i="4" s="1"/>
  <c r="S497" i="4"/>
  <c r="S496" i="4"/>
  <c r="S494" i="4" s="1"/>
  <c r="R514" i="4"/>
  <c r="U514" i="4" s="1"/>
  <c r="M516" i="4"/>
  <c r="P516" i="4" s="1"/>
  <c r="M643" i="4"/>
  <c r="P643" i="4" s="1"/>
  <c r="P645" i="4"/>
  <c r="K706" i="4"/>
  <c r="I702" i="4"/>
  <c r="U618" i="4"/>
  <c r="T644" i="4"/>
  <c r="M691" i="4"/>
  <c r="P691" i="4" s="1"/>
  <c r="P693" i="4"/>
  <c r="U557" i="4"/>
  <c r="R556" i="4"/>
  <c r="U556" i="4" s="1"/>
  <c r="Q577" i="4"/>
  <c r="T577" i="4" s="1"/>
  <c r="T579" i="4"/>
  <c r="O618" i="4"/>
  <c r="L617" i="4"/>
  <c r="O617" i="4" s="1"/>
  <c r="T692" i="4"/>
  <c r="L761" i="4"/>
  <c r="O761" i="4" s="1"/>
  <c r="O763" i="4"/>
  <c r="M359" i="4"/>
  <c r="M393" i="4"/>
  <c r="P393" i="4" s="1"/>
  <c r="T419" i="4"/>
  <c r="S514" i="4"/>
  <c r="O557" i="4"/>
  <c r="L556" i="4"/>
  <c r="O556" i="4" s="1"/>
  <c r="K627" i="4"/>
  <c r="R731" i="4"/>
  <c r="U731" i="4" s="1"/>
  <c r="U734" i="4"/>
  <c r="S763" i="4"/>
  <c r="S761" i="4" s="1"/>
  <c r="R645" i="4"/>
  <c r="R693" i="4"/>
  <c r="Q763" i="4"/>
  <c r="N520" i="2"/>
  <c r="O520" i="2" s="1"/>
  <c r="S75" i="3"/>
  <c r="S73" i="3" s="1"/>
  <c r="I84" i="3"/>
  <c r="I72" i="3" s="1"/>
  <c r="K72" i="3" s="1"/>
  <c r="K154" i="3"/>
  <c r="U622" i="3"/>
  <c r="N101" i="3"/>
  <c r="R306" i="2"/>
  <c r="R304" i="2" s="1"/>
  <c r="U304" i="2" s="1"/>
  <c r="L124" i="3"/>
  <c r="O124" i="3" s="1"/>
  <c r="I243" i="3"/>
  <c r="K243" i="3" s="1"/>
  <c r="K458" i="3"/>
  <c r="J703" i="3"/>
  <c r="T766" i="3"/>
  <c r="I117" i="2"/>
  <c r="K117" i="2" s="1"/>
  <c r="O166" i="2"/>
  <c r="S306" i="2"/>
  <c r="S304" i="2" s="1"/>
  <c r="I457" i="2"/>
  <c r="K457" i="2" s="1"/>
  <c r="N160" i="3"/>
  <c r="N158" i="3" s="1"/>
  <c r="N176" i="3"/>
  <c r="N174" i="3" s="1"/>
  <c r="L223" i="3"/>
  <c r="O223" i="3" s="1"/>
  <c r="L336" i="3"/>
  <c r="L334" i="3" s="1"/>
  <c r="O342" i="3"/>
  <c r="T419" i="3"/>
  <c r="S731" i="3"/>
  <c r="S729" i="3" s="1"/>
  <c r="U764" i="3"/>
  <c r="L269" i="3"/>
  <c r="O269" i="3" s="1"/>
  <c r="P324" i="3"/>
  <c r="T499" i="3"/>
  <c r="I616" i="3"/>
  <c r="K616" i="3" s="1"/>
  <c r="N285" i="2"/>
  <c r="N283" i="2" s="1"/>
  <c r="J352" i="2"/>
  <c r="L359" i="2"/>
  <c r="L357" i="2" s="1"/>
  <c r="Q646" i="2"/>
  <c r="T646" i="2" s="1"/>
  <c r="J675" i="2"/>
  <c r="I690" i="2"/>
  <c r="K690" i="2" s="1"/>
  <c r="T120" i="3"/>
  <c r="M180" i="3"/>
  <c r="P180" i="3" s="1"/>
  <c r="I222" i="3"/>
  <c r="K222" i="3" s="1"/>
  <c r="J333" i="3"/>
  <c r="Q416" i="3"/>
  <c r="T416" i="3" s="1"/>
  <c r="K633" i="3"/>
  <c r="T734" i="3"/>
  <c r="L76" i="2"/>
  <c r="O76" i="2" s="1"/>
  <c r="O78" i="2"/>
  <c r="R98" i="3"/>
  <c r="U98" i="3" s="1"/>
  <c r="R97" i="3"/>
  <c r="R95" i="3" s="1"/>
  <c r="R24" i="3"/>
  <c r="R21" i="3" s="1"/>
  <c r="R19" i="3" s="1"/>
  <c r="U100" i="3"/>
  <c r="K315" i="3"/>
  <c r="I303" i="3"/>
  <c r="K303" i="3" s="1"/>
  <c r="U419" i="3"/>
  <c r="R417" i="3"/>
  <c r="U417" i="3" s="1"/>
  <c r="R416" i="3"/>
  <c r="I760" i="3"/>
  <c r="K760" i="3" s="1"/>
  <c r="K775" i="3"/>
  <c r="M289" i="1"/>
  <c r="P289" i="1" s="1"/>
  <c r="M75" i="3"/>
  <c r="M73" i="3" s="1"/>
  <c r="L310" i="3"/>
  <c r="O310" i="3" s="1"/>
  <c r="O312" i="3"/>
  <c r="R379" i="3"/>
  <c r="U379" i="3" s="1"/>
  <c r="R378" i="3"/>
  <c r="U381" i="3"/>
  <c r="S646" i="3"/>
  <c r="S645" i="3"/>
  <c r="S643" i="3" s="1"/>
  <c r="O519" i="2"/>
  <c r="L516" i="2"/>
  <c r="L514" i="2" s="1"/>
  <c r="M47" i="3"/>
  <c r="M45" i="3" s="1"/>
  <c r="P53" i="3"/>
  <c r="M51" i="3"/>
  <c r="P51" i="3" s="1"/>
  <c r="R120" i="3"/>
  <c r="R118" i="3" s="1"/>
  <c r="U118" i="3" s="1"/>
  <c r="R121" i="3"/>
  <c r="O145" i="3"/>
  <c r="L142" i="3"/>
  <c r="L140" i="3" s="1"/>
  <c r="L143" i="3"/>
  <c r="O143" i="3" s="1"/>
  <c r="O163" i="3"/>
  <c r="L161" i="3"/>
  <c r="O161" i="3" s="1"/>
  <c r="L160" i="3"/>
  <c r="M189" i="3"/>
  <c r="M187" i="3" s="1"/>
  <c r="P270" i="3"/>
  <c r="N286" i="3"/>
  <c r="N285" i="3"/>
  <c r="N283" i="3" s="1"/>
  <c r="I375" i="3"/>
  <c r="T696" i="3"/>
  <c r="K708" i="3"/>
  <c r="I690" i="3"/>
  <c r="K690" i="3" s="1"/>
  <c r="K781" i="3"/>
  <c r="K315" i="2"/>
  <c r="I303" i="2"/>
  <c r="K303" i="2" s="1"/>
  <c r="K331" i="3"/>
  <c r="I320" i="3"/>
  <c r="K320" i="3" s="1"/>
  <c r="P342" i="3"/>
  <c r="M340" i="3"/>
  <c r="P340" i="3" s="1"/>
  <c r="M336" i="3"/>
  <c r="M334" i="3" s="1"/>
  <c r="M63" i="3"/>
  <c r="P63" i="3" s="1"/>
  <c r="M24" i="3"/>
  <c r="M22" i="3" s="1"/>
  <c r="M62" i="3"/>
  <c r="M60" i="3" s="1"/>
  <c r="M327" i="3"/>
  <c r="P327" i="3" s="1"/>
  <c r="M323" i="3"/>
  <c r="M321" i="3" s="1"/>
  <c r="P329" i="3"/>
  <c r="K345" i="3"/>
  <c r="I333" i="3"/>
  <c r="S694" i="3"/>
  <c r="U694" i="3" s="1"/>
  <c r="S693" i="3"/>
  <c r="S691" i="3" s="1"/>
  <c r="K779" i="3"/>
  <c r="K785" i="3"/>
  <c r="O63" i="3"/>
  <c r="Q75" i="3"/>
  <c r="Q73" i="3" s="1"/>
  <c r="Q98" i="3"/>
  <c r="T98" i="3" s="1"/>
  <c r="L97" i="3"/>
  <c r="O97" i="3" s="1"/>
  <c r="M121" i="3"/>
  <c r="P121" i="3" s="1"/>
  <c r="U123" i="3"/>
  <c r="P145" i="3"/>
  <c r="U145" i="3"/>
  <c r="P163" i="3"/>
  <c r="Q189" i="3"/>
  <c r="T189" i="3" s="1"/>
  <c r="J344" i="3"/>
  <c r="T381" i="3"/>
  <c r="S620" i="3"/>
  <c r="R646" i="3"/>
  <c r="U646" i="3" s="1"/>
  <c r="Q731" i="3"/>
  <c r="Q729" i="3" s="1"/>
  <c r="R763" i="3"/>
  <c r="R761" i="3" s="1"/>
  <c r="P50" i="2"/>
  <c r="N120" i="2"/>
  <c r="N118" i="2" s="1"/>
  <c r="L237" i="2"/>
  <c r="M120" i="3"/>
  <c r="P120" i="3" s="1"/>
  <c r="J675" i="3"/>
  <c r="I759" i="3"/>
  <c r="K759" i="3" s="1"/>
  <c r="N97" i="2"/>
  <c r="N95" i="2" s="1"/>
  <c r="T694" i="2"/>
  <c r="M124" i="3"/>
  <c r="P124" i="3" s="1"/>
  <c r="M142" i="3"/>
  <c r="M140" i="3" s="1"/>
  <c r="M146" i="3"/>
  <c r="P146" i="3" s="1"/>
  <c r="S160" i="3"/>
  <c r="S158" i="3" s="1"/>
  <c r="S177" i="3"/>
  <c r="L180" i="3"/>
  <c r="O180" i="3" s="1"/>
  <c r="I196" i="3"/>
  <c r="K196" i="3" s="1"/>
  <c r="I239" i="3"/>
  <c r="K239" i="3" s="1"/>
  <c r="P272" i="3"/>
  <c r="M289" i="3"/>
  <c r="P289" i="3" s="1"/>
  <c r="L324" i="3"/>
  <c r="O324" i="3" s="1"/>
  <c r="K387" i="3"/>
  <c r="Q617" i="3"/>
  <c r="T617" i="3" s="1"/>
  <c r="K630" i="3"/>
  <c r="T764" i="3"/>
  <c r="K786" i="3"/>
  <c r="Q306" i="2"/>
  <c r="Q304" i="2" s="1"/>
  <c r="T304" i="2" s="1"/>
  <c r="K781" i="2"/>
  <c r="O48" i="3"/>
  <c r="L66" i="3"/>
  <c r="O66" i="3" s="1"/>
  <c r="S97" i="3"/>
  <c r="M27" i="3"/>
  <c r="P27" i="3" s="1"/>
  <c r="L204" i="3"/>
  <c r="O204" i="3" s="1"/>
  <c r="L215" i="3"/>
  <c r="O215" i="3" s="1"/>
  <c r="L306" i="3"/>
  <c r="O306" i="3" s="1"/>
  <c r="L323" i="3"/>
  <c r="L321" i="3" s="1"/>
  <c r="J352" i="3"/>
  <c r="R617" i="3"/>
  <c r="U617" i="3" s="1"/>
  <c r="K632" i="3"/>
  <c r="U766" i="3"/>
  <c r="Q189" i="2"/>
  <c r="Q187" i="2" s="1"/>
  <c r="I196" i="2"/>
  <c r="K196" i="2" s="1"/>
  <c r="U619" i="2"/>
  <c r="T78" i="3"/>
  <c r="T192" i="3"/>
  <c r="R496" i="3"/>
  <c r="U496" i="3" s="1"/>
  <c r="R497" i="3"/>
  <c r="O519" i="3"/>
  <c r="U696" i="3"/>
  <c r="O20" i="3"/>
  <c r="T20" i="3"/>
  <c r="T26" i="3"/>
  <c r="Q25" i="3"/>
  <c r="T25" i="3" s="1"/>
  <c r="L51" i="3"/>
  <c r="O51" i="3" s="1"/>
  <c r="L27" i="3"/>
  <c r="O27" i="3" s="1"/>
  <c r="O53" i="3"/>
  <c r="L47" i="3"/>
  <c r="L45" i="3" s="1"/>
  <c r="U61" i="3"/>
  <c r="R60" i="3"/>
  <c r="U60" i="3" s="1"/>
  <c r="O74" i="3"/>
  <c r="L76" i="3"/>
  <c r="O76" i="3" s="1"/>
  <c r="O78" i="3"/>
  <c r="L24" i="3"/>
  <c r="L22" i="3" s="1"/>
  <c r="L75" i="3"/>
  <c r="L73" i="3" s="1"/>
  <c r="M98" i="3"/>
  <c r="P98" i="3" s="1"/>
  <c r="P100" i="3"/>
  <c r="M97" i="3"/>
  <c r="P97" i="3" s="1"/>
  <c r="L244" i="3"/>
  <c r="L234" i="3"/>
  <c r="N310" i="3"/>
  <c r="N306" i="3"/>
  <c r="N304" i="3" s="1"/>
  <c r="K782" i="2"/>
  <c r="U20" i="3"/>
  <c r="N24" i="3"/>
  <c r="N22" i="3" s="1"/>
  <c r="U26" i="3"/>
  <c r="R25" i="3"/>
  <c r="U25" i="3" s="1"/>
  <c r="O46" i="3"/>
  <c r="O65" i="3"/>
  <c r="Q142" i="3"/>
  <c r="T145" i="3"/>
  <c r="Q174" i="3"/>
  <c r="T174" i="3" s="1"/>
  <c r="T175" i="3"/>
  <c r="N190" i="3"/>
  <c r="P190" i="3" s="1"/>
  <c r="O192" i="3"/>
  <c r="P192" i="3"/>
  <c r="N189" i="3"/>
  <c r="M307" i="3"/>
  <c r="P307" i="3" s="1"/>
  <c r="P309" i="3"/>
  <c r="M306" i="3"/>
  <c r="P306" i="3" s="1"/>
  <c r="I138" i="2"/>
  <c r="K138" i="2" s="1"/>
  <c r="L146" i="2"/>
  <c r="O146" i="2" s="1"/>
  <c r="S177" i="2"/>
  <c r="P179" i="2"/>
  <c r="P190" i="2"/>
  <c r="I222" i="2"/>
  <c r="K222" i="2" s="1"/>
  <c r="T309" i="2"/>
  <c r="O26" i="3"/>
  <c r="P46" i="3"/>
  <c r="N47" i="3"/>
  <c r="N45" i="3" s="1"/>
  <c r="O61" i="3"/>
  <c r="O50" i="2"/>
  <c r="L75" i="2"/>
  <c r="O75" i="2" s="1"/>
  <c r="L160" i="2"/>
  <c r="L158" i="2" s="1"/>
  <c r="O158" i="2" s="1"/>
  <c r="T190" i="2"/>
  <c r="L215" i="2"/>
  <c r="O215" i="2" s="1"/>
  <c r="L235" i="2"/>
  <c r="S269" i="2"/>
  <c r="T269" i="2" s="1"/>
  <c r="O288" i="2"/>
  <c r="R416" i="2"/>
  <c r="U416" i="2" s="1"/>
  <c r="R417" i="2"/>
  <c r="U417" i="2" s="1"/>
  <c r="T23" i="3"/>
  <c r="S24" i="3"/>
  <c r="S21" i="3" s="1"/>
  <c r="S19" i="3" s="1"/>
  <c r="P50" i="3"/>
  <c r="P61" i="3"/>
  <c r="I93" i="3"/>
  <c r="K93" i="3" s="1"/>
  <c r="K109" i="3"/>
  <c r="P179" i="3"/>
  <c r="M177" i="3"/>
  <c r="P177" i="3" s="1"/>
  <c r="N273" i="3"/>
  <c r="N269" i="3"/>
  <c r="N267" i="3" s="1"/>
  <c r="T497" i="2"/>
  <c r="T734" i="2"/>
  <c r="R764" i="2"/>
  <c r="U764" i="2" s="1"/>
  <c r="U23" i="3"/>
  <c r="N27" i="3"/>
  <c r="N25" i="3" s="1"/>
  <c r="N62" i="3"/>
  <c r="I83" i="3"/>
  <c r="K87" i="3"/>
  <c r="L101" i="3"/>
  <c r="O101" i="3" s="1"/>
  <c r="O103" i="3"/>
  <c r="P195" i="3"/>
  <c r="M193" i="3"/>
  <c r="P193" i="3" s="1"/>
  <c r="O63" i="2"/>
  <c r="M98" i="2"/>
  <c r="P98" i="2" s="1"/>
  <c r="N160" i="2"/>
  <c r="N158" i="2" s="1"/>
  <c r="P337" i="2"/>
  <c r="U499" i="2"/>
  <c r="R620" i="2"/>
  <c r="K632" i="2"/>
  <c r="Q731" i="2"/>
  <c r="Q729" i="2" s="1"/>
  <c r="T766" i="2"/>
  <c r="O23" i="3"/>
  <c r="U46" i="3"/>
  <c r="R45" i="3"/>
  <c r="U45" i="3" s="1"/>
  <c r="P48" i="3"/>
  <c r="O50" i="3"/>
  <c r="P65" i="3"/>
  <c r="R73" i="3"/>
  <c r="U74" i="3"/>
  <c r="L79" i="3"/>
  <c r="O79" i="3" s="1"/>
  <c r="O81" i="3"/>
  <c r="N337" i="3"/>
  <c r="P337" i="3" s="1"/>
  <c r="N336" i="3"/>
  <c r="N334" i="3" s="1"/>
  <c r="R357" i="3"/>
  <c r="U357" i="3" s="1"/>
  <c r="U358" i="3"/>
  <c r="M101" i="3"/>
  <c r="P101" i="3" s="1"/>
  <c r="P103" i="3"/>
  <c r="M286" i="3"/>
  <c r="P286" i="3" s="1"/>
  <c r="P288" i="3"/>
  <c r="P78" i="3"/>
  <c r="K90" i="3"/>
  <c r="O100" i="3"/>
  <c r="N142" i="3"/>
  <c r="K153" i="3"/>
  <c r="I138" i="3"/>
  <c r="K138" i="3" s="1"/>
  <c r="M161" i="3"/>
  <c r="P161" i="3" s="1"/>
  <c r="M164" i="3"/>
  <c r="P164" i="3" s="1"/>
  <c r="I169" i="3"/>
  <c r="K169" i="3" s="1"/>
  <c r="K168" i="3"/>
  <c r="Q269" i="3"/>
  <c r="R270" i="3"/>
  <c r="U270" i="3" s="1"/>
  <c r="U272" i="3"/>
  <c r="O305" i="3"/>
  <c r="T377" i="3"/>
  <c r="Q121" i="3"/>
  <c r="T123" i="3"/>
  <c r="Q177" i="3"/>
  <c r="T177" i="3" s="1"/>
  <c r="T179" i="3"/>
  <c r="O291" i="3"/>
  <c r="L289" i="3"/>
  <c r="O289" i="3" s="1"/>
  <c r="R307" i="3"/>
  <c r="U307" i="3" s="1"/>
  <c r="U309" i="3"/>
  <c r="R334" i="3"/>
  <c r="U334" i="3" s="1"/>
  <c r="U335" i="3"/>
  <c r="O416" i="3"/>
  <c r="L414" i="3"/>
  <c r="O414" i="3" s="1"/>
  <c r="Q24" i="3"/>
  <c r="Q22" i="3" s="1"/>
  <c r="S121" i="3"/>
  <c r="P126" i="3"/>
  <c r="T159" i="3"/>
  <c r="Q161" i="3"/>
  <c r="T161" i="3" s="1"/>
  <c r="T163" i="3"/>
  <c r="I170" i="3"/>
  <c r="K170" i="3" s="1"/>
  <c r="T188" i="3"/>
  <c r="S190" i="3"/>
  <c r="U192" i="3"/>
  <c r="N233" i="3"/>
  <c r="L270" i="3"/>
  <c r="O270" i="3" s="1"/>
  <c r="O272" i="3"/>
  <c r="T272" i="3"/>
  <c r="U284" i="3"/>
  <c r="R283" i="3"/>
  <c r="U283" i="3" s="1"/>
  <c r="I281" i="3"/>
  <c r="K281" i="3" s="1"/>
  <c r="K294" i="3"/>
  <c r="N75" i="3"/>
  <c r="N73" i="3" s="1"/>
  <c r="R76" i="3"/>
  <c r="U76" i="3" s="1"/>
  <c r="U78" i="3"/>
  <c r="I117" i="3"/>
  <c r="K117" i="3" s="1"/>
  <c r="Q118" i="3"/>
  <c r="T118" i="3" s="1"/>
  <c r="U141" i="3"/>
  <c r="I137" i="3"/>
  <c r="K137" i="3" s="1"/>
  <c r="K155" i="3"/>
  <c r="I173" i="3"/>
  <c r="K173" i="3" s="1"/>
  <c r="S187" i="3"/>
  <c r="K210" i="3"/>
  <c r="I203" i="3"/>
  <c r="K203" i="3" s="1"/>
  <c r="L255" i="3"/>
  <c r="O255" i="3" s="1"/>
  <c r="R267" i="3"/>
  <c r="U268" i="3"/>
  <c r="P275" i="3"/>
  <c r="M273" i="3"/>
  <c r="P273" i="3" s="1"/>
  <c r="M269" i="3"/>
  <c r="P305" i="3"/>
  <c r="M310" i="3"/>
  <c r="P310" i="3" s="1"/>
  <c r="P312" i="3"/>
  <c r="R321" i="3"/>
  <c r="U321" i="3" s="1"/>
  <c r="L235" i="3"/>
  <c r="T335" i="3"/>
  <c r="Q334" i="3"/>
  <c r="T334" i="3" s="1"/>
  <c r="P339" i="3"/>
  <c r="O284" i="3"/>
  <c r="Q321" i="3"/>
  <c r="T321" i="3" s="1"/>
  <c r="P362" i="3"/>
  <c r="O362" i="3"/>
  <c r="N360" i="3"/>
  <c r="P360" i="3" s="1"/>
  <c r="I366" i="3"/>
  <c r="K366" i="3" s="1"/>
  <c r="K372" i="3"/>
  <c r="U495" i="3"/>
  <c r="T268" i="3"/>
  <c r="L273" i="3"/>
  <c r="O273" i="3" s="1"/>
  <c r="O275" i="3"/>
  <c r="L285" i="3"/>
  <c r="O285" i="3" s="1"/>
  <c r="O288" i="3"/>
  <c r="U305" i="3"/>
  <c r="R304" i="3"/>
  <c r="O309" i="3"/>
  <c r="N327" i="3"/>
  <c r="N323" i="3"/>
  <c r="O358" i="3"/>
  <c r="N359" i="3"/>
  <c r="N357" i="3" s="1"/>
  <c r="L494" i="3"/>
  <c r="O494" i="3" s="1"/>
  <c r="O495" i="3"/>
  <c r="M376" i="3"/>
  <c r="P376" i="3" s="1"/>
  <c r="P378" i="3"/>
  <c r="O339" i="3"/>
  <c r="L359" i="3"/>
  <c r="O365" i="3"/>
  <c r="J375" i="3"/>
  <c r="L393" i="3"/>
  <c r="O393" i="3" s="1"/>
  <c r="P519" i="3"/>
  <c r="N535" i="3"/>
  <c r="Q577" i="3"/>
  <c r="T577" i="3" s="1"/>
  <c r="O578" i="3"/>
  <c r="M643" i="3"/>
  <c r="P643" i="3" s="1"/>
  <c r="P645" i="3"/>
  <c r="K706" i="3"/>
  <c r="I702" i="3"/>
  <c r="T732" i="3"/>
  <c r="I254" i="3"/>
  <c r="M359" i="3"/>
  <c r="M393" i="3"/>
  <c r="P393" i="3" s="1"/>
  <c r="S514" i="3"/>
  <c r="L517" i="3"/>
  <c r="O517" i="3" s="1"/>
  <c r="Q535" i="3"/>
  <c r="T535" i="3" s="1"/>
  <c r="O536" i="3"/>
  <c r="R556" i="3"/>
  <c r="U556" i="3" s="1"/>
  <c r="U601" i="3"/>
  <c r="U618" i="3"/>
  <c r="U619" i="3"/>
  <c r="T644" i="3"/>
  <c r="M691" i="3"/>
  <c r="P691" i="3" s="1"/>
  <c r="P693" i="3"/>
  <c r="U732" i="3"/>
  <c r="T515" i="3"/>
  <c r="P522" i="3"/>
  <c r="T692" i="3"/>
  <c r="L761" i="3"/>
  <c r="O761" i="3" s="1"/>
  <c r="O763" i="3"/>
  <c r="S379" i="3"/>
  <c r="T379" i="3" s="1"/>
  <c r="L556" i="3"/>
  <c r="O556" i="3" s="1"/>
  <c r="R514" i="3"/>
  <c r="U514" i="3" s="1"/>
  <c r="P515" i="3"/>
  <c r="M516" i="3"/>
  <c r="P516" i="3" s="1"/>
  <c r="M535" i="3"/>
  <c r="P535" i="3" s="1"/>
  <c r="U578" i="3"/>
  <c r="L617" i="3"/>
  <c r="O617" i="3" s="1"/>
  <c r="T622" i="3"/>
  <c r="Q620" i="3"/>
  <c r="Q715" i="3"/>
  <c r="T715" i="3" s="1"/>
  <c r="T717" i="3"/>
  <c r="K627" i="3"/>
  <c r="R731" i="3"/>
  <c r="U734" i="3"/>
  <c r="S763" i="3"/>
  <c r="S761" i="3" s="1"/>
  <c r="R645" i="3"/>
  <c r="R693" i="3"/>
  <c r="Q763" i="3"/>
  <c r="R160" i="2"/>
  <c r="U160" i="2" s="1"/>
  <c r="K110" i="2"/>
  <c r="N47" i="2"/>
  <c r="N45" i="2" s="1"/>
  <c r="L142" i="2"/>
  <c r="N161" i="2"/>
  <c r="M164" i="2"/>
  <c r="P164" i="2" s="1"/>
  <c r="S189" i="2"/>
  <c r="S187" i="2" s="1"/>
  <c r="M306" i="2"/>
  <c r="P306" i="2" s="1"/>
  <c r="J504" i="2"/>
  <c r="L517" i="2"/>
  <c r="O517" i="2" s="1"/>
  <c r="K779" i="2"/>
  <c r="K785" i="2"/>
  <c r="S335" i="1"/>
  <c r="I83" i="2"/>
  <c r="I71" i="2" s="1"/>
  <c r="K71" i="2" s="1"/>
  <c r="M160" i="2"/>
  <c r="P160" i="2" s="1"/>
  <c r="L244" i="2"/>
  <c r="O244" i="2" s="1"/>
  <c r="P65" i="2"/>
  <c r="L79" i="2"/>
  <c r="O79" i="2" s="1"/>
  <c r="M97" i="2"/>
  <c r="P97" i="2" s="1"/>
  <c r="M120" i="2"/>
  <c r="P120" i="2" s="1"/>
  <c r="I173" i="2"/>
  <c r="K173" i="2" s="1"/>
  <c r="T192" i="2"/>
  <c r="M269" i="2"/>
  <c r="M267" i="2" s="1"/>
  <c r="O329" i="2"/>
  <c r="L336" i="2"/>
  <c r="J375" i="2"/>
  <c r="I616" i="2"/>
  <c r="K616" i="2" s="1"/>
  <c r="S645" i="2"/>
  <c r="S643" i="2" s="1"/>
  <c r="N62" i="2"/>
  <c r="N60" i="2" s="1"/>
  <c r="I93" i="2"/>
  <c r="K93" i="2" s="1"/>
  <c r="L143" i="2"/>
  <c r="O143" i="2" s="1"/>
  <c r="R176" i="2"/>
  <c r="R174" i="2" s="1"/>
  <c r="U174" i="2" s="1"/>
  <c r="L234" i="2"/>
  <c r="L236" i="2"/>
  <c r="R269" i="2"/>
  <c r="N24" i="2"/>
  <c r="N22" i="2" s="1"/>
  <c r="I375" i="2"/>
  <c r="R497" i="2"/>
  <c r="U497" i="2" s="1"/>
  <c r="J676" i="2"/>
  <c r="K710" i="2"/>
  <c r="Q732" i="2"/>
  <c r="T732" i="2" s="1"/>
  <c r="Q267" i="2"/>
  <c r="K266" i="2"/>
  <c r="S120" i="2"/>
  <c r="S118" i="2" s="1"/>
  <c r="M124" i="2"/>
  <c r="P124" i="2" s="1"/>
  <c r="Q142" i="2"/>
  <c r="Q143" i="2"/>
  <c r="T143" i="2" s="1"/>
  <c r="P148" i="2"/>
  <c r="K155" i="2"/>
  <c r="S174" i="2"/>
  <c r="Q176" i="2"/>
  <c r="Q177" i="2"/>
  <c r="T177" i="2" s="1"/>
  <c r="O195" i="2"/>
  <c r="L306" i="2"/>
  <c r="R307" i="2"/>
  <c r="U307" i="2" s="1"/>
  <c r="L323" i="2"/>
  <c r="L321" i="2" s="1"/>
  <c r="K331" i="2"/>
  <c r="M340" i="2"/>
  <c r="P340" i="2" s="1"/>
  <c r="K347" i="2"/>
  <c r="O362" i="2"/>
  <c r="K370" i="2"/>
  <c r="R379" i="2"/>
  <c r="U379" i="2" s="1"/>
  <c r="R496" i="2"/>
  <c r="R494" i="2" s="1"/>
  <c r="N516" i="2"/>
  <c r="N514" i="2" s="1"/>
  <c r="P519" i="2"/>
  <c r="K630" i="2"/>
  <c r="U696" i="2"/>
  <c r="I759" i="2"/>
  <c r="K759" i="2" s="1"/>
  <c r="P163" i="2"/>
  <c r="N189" i="2"/>
  <c r="N187" i="2" s="1"/>
  <c r="P291" i="2"/>
  <c r="K294" i="2"/>
  <c r="M327" i="2"/>
  <c r="P327" i="2" s="1"/>
  <c r="N360" i="2"/>
  <c r="O360" i="2" s="1"/>
  <c r="P362" i="2"/>
  <c r="S378" i="2"/>
  <c r="S376" i="2" s="1"/>
  <c r="K387" i="2"/>
  <c r="R76" i="2"/>
  <c r="U76" i="2" s="1"/>
  <c r="K85" i="2"/>
  <c r="S97" i="2"/>
  <c r="S95" i="2" s="1"/>
  <c r="M101" i="2"/>
  <c r="P101" i="2" s="1"/>
  <c r="P123" i="2"/>
  <c r="U179" i="2"/>
  <c r="Q270" i="2"/>
  <c r="T270" i="2" s="1"/>
  <c r="T272" i="2"/>
  <c r="K277" i="2"/>
  <c r="M285" i="2"/>
  <c r="P285" i="2" s="1"/>
  <c r="N306" i="2"/>
  <c r="N304" i="2" s="1"/>
  <c r="O309" i="2"/>
  <c r="N336" i="2"/>
  <c r="N334" i="2" s="1"/>
  <c r="I424" i="2"/>
  <c r="T696" i="2"/>
  <c r="S731" i="2"/>
  <c r="S729" i="2" s="1"/>
  <c r="K775" i="2"/>
  <c r="K786" i="2"/>
  <c r="P63" i="2"/>
  <c r="U78" i="2"/>
  <c r="I84" i="2"/>
  <c r="M161" i="2"/>
  <c r="P161" i="2" s="1"/>
  <c r="M176" i="2"/>
  <c r="O179" i="2"/>
  <c r="M180" i="2"/>
  <c r="P180" i="2" s="1"/>
  <c r="O182" i="2"/>
  <c r="L223" i="2"/>
  <c r="O223" i="2" s="1"/>
  <c r="U272" i="2"/>
  <c r="P309" i="2"/>
  <c r="L310" i="2"/>
  <c r="O310" i="2" s="1"/>
  <c r="O339" i="2"/>
  <c r="J333" i="2"/>
  <c r="K333" i="2" s="1"/>
  <c r="N359" i="2"/>
  <c r="N357" i="2" s="1"/>
  <c r="Q416" i="2"/>
  <c r="T416" i="2" s="1"/>
  <c r="K633" i="2"/>
  <c r="Q693" i="2"/>
  <c r="Q691" i="2" s="1"/>
  <c r="M79" i="2"/>
  <c r="P79" i="2" s="1"/>
  <c r="U121" i="2"/>
  <c r="M48" i="2"/>
  <c r="P48" i="2" s="1"/>
  <c r="R73" i="2"/>
  <c r="U73" i="2" s="1"/>
  <c r="M177" i="2"/>
  <c r="P177" i="2" s="1"/>
  <c r="L204" i="2"/>
  <c r="O204" i="2" s="1"/>
  <c r="O272" i="2"/>
  <c r="P312" i="2"/>
  <c r="M336" i="2"/>
  <c r="M334" i="2" s="1"/>
  <c r="O365" i="2"/>
  <c r="K369" i="2"/>
  <c r="S693" i="2"/>
  <c r="S691" i="2" s="1"/>
  <c r="J702" i="2"/>
  <c r="U732" i="2"/>
  <c r="U766" i="2"/>
  <c r="K780" i="2"/>
  <c r="T75" i="2"/>
  <c r="Q73" i="2"/>
  <c r="T73" i="2" s="1"/>
  <c r="S735" i="1"/>
  <c r="P20" i="2"/>
  <c r="U96" i="2"/>
  <c r="M51" i="2"/>
  <c r="P51" i="2" s="1"/>
  <c r="M27" i="2"/>
  <c r="P27" i="2" s="1"/>
  <c r="M47" i="2"/>
  <c r="P53" i="2"/>
  <c r="Q60" i="2"/>
  <c r="T60" i="2" s="1"/>
  <c r="T61" i="2"/>
  <c r="S24" i="2"/>
  <c r="S21" i="2" s="1"/>
  <c r="S75" i="2"/>
  <c r="S73" i="2" s="1"/>
  <c r="T100" i="2"/>
  <c r="Q97" i="2"/>
  <c r="T123" i="2"/>
  <c r="Q120" i="2"/>
  <c r="N143" i="2"/>
  <c r="N142" i="2"/>
  <c r="N140" i="2" s="1"/>
  <c r="Q161" i="2"/>
  <c r="T161" i="2" s="1"/>
  <c r="M143" i="2"/>
  <c r="P143" i="2" s="1"/>
  <c r="M142" i="2"/>
  <c r="P142" i="2" s="1"/>
  <c r="P145" i="2"/>
  <c r="P26" i="2"/>
  <c r="N27" i="2"/>
  <c r="Q45" i="2"/>
  <c r="T45" i="2" s="1"/>
  <c r="R60" i="2"/>
  <c r="U60" i="2" s="1"/>
  <c r="U61" i="2"/>
  <c r="O74" i="2"/>
  <c r="P78" i="2"/>
  <c r="M24" i="2"/>
  <c r="M22" i="2" s="1"/>
  <c r="M75" i="2"/>
  <c r="P75" i="2" s="1"/>
  <c r="O96" i="2"/>
  <c r="U100" i="2"/>
  <c r="R97" i="2"/>
  <c r="U97" i="2" s="1"/>
  <c r="R24" i="2"/>
  <c r="O119" i="2"/>
  <c r="T121" i="2"/>
  <c r="U123" i="2"/>
  <c r="R120" i="2"/>
  <c r="Q160" i="2"/>
  <c r="N269" i="2"/>
  <c r="N267" i="2" s="1"/>
  <c r="P270" i="2"/>
  <c r="L273" i="2"/>
  <c r="O273" i="2" s="1"/>
  <c r="O275" i="2"/>
  <c r="R321" i="2"/>
  <c r="U321" i="2" s="1"/>
  <c r="U322" i="2"/>
  <c r="N324" i="2"/>
  <c r="N323" i="2"/>
  <c r="N321" i="2" s="1"/>
  <c r="M494" i="2"/>
  <c r="P494" i="2" s="1"/>
  <c r="P495" i="2"/>
  <c r="O618" i="2"/>
  <c r="L617" i="2"/>
  <c r="O617" i="2" s="1"/>
  <c r="O53" i="2"/>
  <c r="L51" i="2"/>
  <c r="O51" i="2" s="1"/>
  <c r="L27" i="2"/>
  <c r="L47" i="2"/>
  <c r="M62" i="2"/>
  <c r="M66" i="2"/>
  <c r="P66" i="2" s="1"/>
  <c r="P74" i="2"/>
  <c r="P96" i="2"/>
  <c r="O100" i="2"/>
  <c r="L97" i="2"/>
  <c r="O97" i="2" s="1"/>
  <c r="L24" i="2"/>
  <c r="L22" i="2" s="1"/>
  <c r="P119" i="2"/>
  <c r="O123" i="2"/>
  <c r="L120" i="2"/>
  <c r="O120" i="2" s="1"/>
  <c r="I157" i="2"/>
  <c r="K157" i="2" s="1"/>
  <c r="K170" i="2"/>
  <c r="P305" i="2"/>
  <c r="O322" i="2"/>
  <c r="T359" i="2"/>
  <c r="Q357" i="2"/>
  <c r="T357" i="2" s="1"/>
  <c r="U119" i="2"/>
  <c r="S20" i="2"/>
  <c r="P23" i="2"/>
  <c r="K86" i="2"/>
  <c r="L98" i="2"/>
  <c r="O98" i="2" s="1"/>
  <c r="L101" i="2"/>
  <c r="O101" i="2" s="1"/>
  <c r="L121" i="2"/>
  <c r="O121" i="2" s="1"/>
  <c r="L124" i="2"/>
  <c r="O124" i="2" s="1"/>
  <c r="U141" i="2"/>
  <c r="K261" i="2"/>
  <c r="I254" i="2"/>
  <c r="K254" i="2" s="1"/>
  <c r="P335" i="2"/>
  <c r="L340" i="2"/>
  <c r="O340" i="2" s="1"/>
  <c r="O342" i="2"/>
  <c r="L20" i="2"/>
  <c r="P68" i="2"/>
  <c r="Q76" i="2"/>
  <c r="T76" i="2" s="1"/>
  <c r="T78" i="2"/>
  <c r="Q24" i="2"/>
  <c r="N79" i="2"/>
  <c r="N75" i="2"/>
  <c r="N73" i="2" s="1"/>
  <c r="S143" i="2"/>
  <c r="S142" i="2"/>
  <c r="S140" i="2" s="1"/>
  <c r="U188" i="2"/>
  <c r="R190" i="2"/>
  <c r="U190" i="2" s="1"/>
  <c r="U192" i="2"/>
  <c r="R189" i="2"/>
  <c r="K250" i="2"/>
  <c r="I243" i="2"/>
  <c r="I239" i="2"/>
  <c r="K239" i="2" s="1"/>
  <c r="P284" i="2"/>
  <c r="T377" i="2"/>
  <c r="S416" i="2"/>
  <c r="S414" i="2" s="1"/>
  <c r="O188" i="2"/>
  <c r="O190" i="2"/>
  <c r="O291" i="2"/>
  <c r="L285" i="2"/>
  <c r="I366" i="2"/>
  <c r="K366" i="2" s="1"/>
  <c r="K372" i="2"/>
  <c r="T379" i="2"/>
  <c r="O416" i="2"/>
  <c r="L414" i="2"/>
  <c r="O414" i="2" s="1"/>
  <c r="P141" i="2"/>
  <c r="L176" i="2"/>
  <c r="O177" i="2"/>
  <c r="L189" i="2"/>
  <c r="I214" i="2"/>
  <c r="K214" i="2" s="1"/>
  <c r="L255" i="2"/>
  <c r="O255" i="2" s="1"/>
  <c r="U268" i="2"/>
  <c r="U270" i="2"/>
  <c r="I282" i="2"/>
  <c r="K282" i="2" s="1"/>
  <c r="O337" i="2"/>
  <c r="K345" i="2"/>
  <c r="J344" i="2"/>
  <c r="M376" i="2"/>
  <c r="P376" i="2" s="1"/>
  <c r="U163" i="2"/>
  <c r="K210" i="2"/>
  <c r="I203" i="2"/>
  <c r="K203" i="2" s="1"/>
  <c r="O268" i="2"/>
  <c r="S283" i="2"/>
  <c r="U359" i="2"/>
  <c r="N376" i="2"/>
  <c r="U377" i="2"/>
  <c r="L393" i="2"/>
  <c r="O393" i="2" s="1"/>
  <c r="O65" i="2"/>
  <c r="O68" i="2"/>
  <c r="L62" i="2"/>
  <c r="O163" i="2"/>
  <c r="O192" i="2"/>
  <c r="L269" i="2"/>
  <c r="O269" i="2" s="1"/>
  <c r="P288" i="2"/>
  <c r="M323" i="2"/>
  <c r="U335" i="2"/>
  <c r="R334" i="2"/>
  <c r="U334" i="2" s="1"/>
  <c r="O377" i="2"/>
  <c r="T381" i="2"/>
  <c r="K320" i="2"/>
  <c r="T322" i="2"/>
  <c r="Q321" i="2"/>
  <c r="T321" i="2" s="1"/>
  <c r="P326" i="2"/>
  <c r="O335" i="2"/>
  <c r="P192" i="2"/>
  <c r="P195" i="2"/>
  <c r="P272" i="2"/>
  <c r="P275" i="2"/>
  <c r="O326" i="2"/>
  <c r="P339" i="2"/>
  <c r="M359" i="2"/>
  <c r="P365" i="2"/>
  <c r="M393" i="2"/>
  <c r="P393" i="2" s="1"/>
  <c r="T419" i="2"/>
  <c r="T622" i="2"/>
  <c r="Q619" i="2"/>
  <c r="T619" i="2" s="1"/>
  <c r="Q620" i="2"/>
  <c r="K706" i="2"/>
  <c r="I702" i="2"/>
  <c r="M520" i="2"/>
  <c r="P520" i="2" s="1"/>
  <c r="P522" i="2"/>
  <c r="M516" i="2"/>
  <c r="P516" i="2" s="1"/>
  <c r="N617" i="2"/>
  <c r="L494" i="2"/>
  <c r="O494" i="2" s="1"/>
  <c r="U557" i="2"/>
  <c r="R556" i="2"/>
  <c r="U556" i="2" s="1"/>
  <c r="T644" i="2"/>
  <c r="T499" i="2"/>
  <c r="Q496" i="2"/>
  <c r="O557" i="2"/>
  <c r="L556" i="2"/>
  <c r="O556" i="2" s="1"/>
  <c r="U618" i="2"/>
  <c r="R617" i="2"/>
  <c r="U617" i="2" s="1"/>
  <c r="T692" i="2"/>
  <c r="S496" i="2"/>
  <c r="S494" i="2" s="1"/>
  <c r="K627" i="2"/>
  <c r="R731" i="2"/>
  <c r="U734" i="2"/>
  <c r="S763" i="2"/>
  <c r="S761" i="2" s="1"/>
  <c r="S620" i="2"/>
  <c r="R646" i="2"/>
  <c r="U646" i="2" s="1"/>
  <c r="R694" i="2"/>
  <c r="U694" i="2" s="1"/>
  <c r="Q764" i="2"/>
  <c r="T764" i="2" s="1"/>
  <c r="Q535" i="2"/>
  <c r="T535" i="2" s="1"/>
  <c r="Q577" i="2"/>
  <c r="T577" i="2" s="1"/>
  <c r="Q600" i="2"/>
  <c r="T600" i="2" s="1"/>
  <c r="U622" i="2"/>
  <c r="M643" i="2"/>
  <c r="P643" i="2" s="1"/>
  <c r="M691" i="2"/>
  <c r="P691" i="2" s="1"/>
  <c r="Q715" i="2"/>
  <c r="T715" i="2" s="1"/>
  <c r="L761" i="2"/>
  <c r="O761" i="2" s="1"/>
  <c r="R761" i="2"/>
  <c r="R645" i="2"/>
  <c r="R693" i="2"/>
  <c r="Q763" i="2"/>
  <c r="K87" i="1"/>
  <c r="S340" i="1"/>
  <c r="I760" i="1"/>
  <c r="K760" i="1" s="1"/>
  <c r="K775" i="1"/>
  <c r="R223" i="1"/>
  <c r="K782" i="1"/>
  <c r="S223" i="1"/>
  <c r="S541" i="1"/>
  <c r="Q120" i="1"/>
  <c r="T120" i="1" s="1"/>
  <c r="Q233" i="1"/>
  <c r="N161" i="1"/>
  <c r="R340" i="1"/>
  <c r="U340" i="1" s="1"/>
  <c r="M96" i="1"/>
  <c r="P96" i="1" s="1"/>
  <c r="R204" i="1"/>
  <c r="L223" i="1"/>
  <c r="N62" i="1"/>
  <c r="R215" i="1"/>
  <c r="N180" i="1"/>
  <c r="N223" i="1"/>
  <c r="N215" i="1"/>
  <c r="N420" i="1"/>
  <c r="Q558" i="1"/>
  <c r="T558" i="1" s="1"/>
  <c r="N500" i="1"/>
  <c r="K184" i="1"/>
  <c r="I424" i="1"/>
  <c r="K424" i="1" s="1"/>
  <c r="T100" i="1"/>
  <c r="S497" i="1"/>
  <c r="K293" i="1"/>
  <c r="Q721" i="1"/>
  <c r="T721" i="1" s="1"/>
  <c r="Q602" i="1"/>
  <c r="T602" i="1" s="1"/>
  <c r="S618" i="1"/>
  <c r="U272" i="1"/>
  <c r="I375" i="1"/>
  <c r="K375" i="1" s="1"/>
  <c r="J485" i="1"/>
  <c r="N496" i="1"/>
  <c r="S496" i="1"/>
  <c r="S495" i="1"/>
  <c r="L74" i="1"/>
  <c r="O74" i="1" s="1"/>
  <c r="O326" i="1"/>
  <c r="M335" i="1"/>
  <c r="P335" i="1" s="1"/>
  <c r="J375" i="1"/>
  <c r="N716" i="1"/>
  <c r="K152" i="1"/>
  <c r="K155" i="1"/>
  <c r="R377" i="1"/>
  <c r="U377" i="1" s="1"/>
  <c r="L579" i="1"/>
  <c r="O579" i="1" s="1"/>
  <c r="Q500" i="1"/>
  <c r="T500" i="1" s="1"/>
  <c r="S623" i="1"/>
  <c r="I157" i="1"/>
  <c r="K157" i="1" s="1"/>
  <c r="K297" i="1"/>
  <c r="K369" i="1"/>
  <c r="R415" i="1"/>
  <c r="U415" i="1" s="1"/>
  <c r="R520" i="1"/>
  <c r="U520" i="1" s="1"/>
  <c r="J675" i="1"/>
  <c r="S306" i="1"/>
  <c r="S310" i="1"/>
  <c r="Q495" i="1"/>
  <c r="T495" i="1" s="1"/>
  <c r="Q359" i="1"/>
  <c r="T359" i="1" s="1"/>
  <c r="R363" i="1"/>
  <c r="U363" i="1" s="1"/>
  <c r="R61" i="1"/>
  <c r="U61" i="1" s="1"/>
  <c r="U80" i="1"/>
  <c r="S79" i="1"/>
  <c r="Q273" i="1"/>
  <c r="T273" i="1" s="1"/>
  <c r="M305" i="1"/>
  <c r="P305" i="1" s="1"/>
  <c r="N323" i="1"/>
  <c r="Q363" i="1"/>
  <c r="T363" i="1" s="1"/>
  <c r="J434" i="1"/>
  <c r="P561" i="1"/>
  <c r="T696" i="1"/>
  <c r="I702" i="1"/>
  <c r="N190" i="1"/>
  <c r="R269" i="1"/>
  <c r="S76" i="1"/>
  <c r="N603" i="1"/>
  <c r="M324" i="1"/>
  <c r="J425" i="1"/>
  <c r="J460" i="1"/>
  <c r="J468" i="1"/>
  <c r="U499" i="1"/>
  <c r="S215" i="1"/>
  <c r="R47" i="1"/>
  <c r="U47" i="1" s="1"/>
  <c r="J83" i="1"/>
  <c r="J71" i="1" s="1"/>
  <c r="S175" i="1"/>
  <c r="K266" i="1"/>
  <c r="N269" i="1"/>
  <c r="N516" i="1"/>
  <c r="N520" i="1"/>
  <c r="M516" i="1"/>
  <c r="P516" i="1" s="1"/>
  <c r="S559" i="1"/>
  <c r="U696" i="1"/>
  <c r="R382" i="1"/>
  <c r="U382" i="1" s="1"/>
  <c r="T78" i="1"/>
  <c r="K89" i="1"/>
  <c r="Q269" i="1"/>
  <c r="J447" i="1"/>
  <c r="J441" i="1" s="1"/>
  <c r="J424" i="1" s="1"/>
  <c r="J413" i="1" s="1"/>
  <c r="S619" i="1"/>
  <c r="L693" i="1"/>
  <c r="O693" i="1" s="1"/>
  <c r="N717" i="1"/>
  <c r="U734" i="1"/>
  <c r="N322" i="1"/>
  <c r="U53" i="1"/>
  <c r="R160" i="1"/>
  <c r="U160" i="1" s="1"/>
  <c r="U309" i="1"/>
  <c r="U326" i="1"/>
  <c r="S327" i="1"/>
  <c r="Q340" i="1"/>
  <c r="T340" i="1" s="1"/>
  <c r="J352" i="1"/>
  <c r="R378" i="1"/>
  <c r="U378" i="1" s="1"/>
  <c r="L394" i="1"/>
  <c r="O394" i="1" s="1"/>
  <c r="T499" i="1"/>
  <c r="M578" i="1"/>
  <c r="P578" i="1" s="1"/>
  <c r="N619" i="1"/>
  <c r="M693" i="1"/>
  <c r="P693" i="1" s="1"/>
  <c r="J702" i="1"/>
  <c r="L716" i="1"/>
  <c r="O716" i="1" s="1"/>
  <c r="S731" i="1"/>
  <c r="R731" i="1"/>
  <c r="J727" i="1"/>
  <c r="K727" i="1" s="1"/>
  <c r="K756" i="1"/>
  <c r="M762" i="1"/>
  <c r="P762" i="1" s="1"/>
  <c r="N762" i="1"/>
  <c r="N538" i="1"/>
  <c r="M27" i="1"/>
  <c r="P27" i="1" s="1"/>
  <c r="N120" i="1"/>
  <c r="N146" i="1"/>
  <c r="U191" i="1"/>
  <c r="R284" i="1"/>
  <c r="U284" i="1" s="1"/>
  <c r="M340" i="1"/>
  <c r="P340" i="1" s="1"/>
  <c r="N378" i="1"/>
  <c r="S377" i="1"/>
  <c r="T498" i="1"/>
  <c r="R517" i="1"/>
  <c r="U517" i="1" s="1"/>
  <c r="P522" i="1"/>
  <c r="S580" i="1"/>
  <c r="K704" i="1"/>
  <c r="K745" i="1"/>
  <c r="K750" i="1"/>
  <c r="R336" i="1"/>
  <c r="U336" i="1" s="1"/>
  <c r="M62" i="1"/>
  <c r="R27" i="1"/>
  <c r="U27" i="1" s="1"/>
  <c r="S75" i="1"/>
  <c r="U75" i="1" s="1"/>
  <c r="J84" i="1"/>
  <c r="J72" i="1" s="1"/>
  <c r="M175" i="1"/>
  <c r="P175" i="1" s="1"/>
  <c r="S284" i="1"/>
  <c r="M336" i="1"/>
  <c r="Q358" i="1"/>
  <c r="T358" i="1" s="1"/>
  <c r="R359" i="1"/>
  <c r="U359" i="1" s="1"/>
  <c r="N359" i="1"/>
  <c r="Q377" i="1"/>
  <c r="T377" i="1" s="1"/>
  <c r="L396" i="1"/>
  <c r="O396" i="1" s="1"/>
  <c r="N602" i="1"/>
  <c r="M24" i="1"/>
  <c r="L24" i="1"/>
  <c r="K86" i="1"/>
  <c r="M121" i="1"/>
  <c r="P121" i="1" s="1"/>
  <c r="K168" i="1"/>
  <c r="N188" i="1"/>
  <c r="S268" i="1"/>
  <c r="T309" i="1"/>
  <c r="O338" i="1"/>
  <c r="N336" i="1"/>
  <c r="S359" i="1"/>
  <c r="S395" i="1"/>
  <c r="S399" i="1"/>
  <c r="J478" i="1"/>
  <c r="R500" i="1"/>
  <c r="U500" i="1" s="1"/>
  <c r="S558" i="1"/>
  <c r="N601" i="1"/>
  <c r="K741" i="1"/>
  <c r="L96" i="1"/>
  <c r="O96" i="1" s="1"/>
  <c r="M101" i="1"/>
  <c r="P101" i="1" s="1"/>
  <c r="S119" i="1"/>
  <c r="Q159" i="1"/>
  <c r="T159" i="1" s="1"/>
  <c r="N164" i="1"/>
  <c r="R307" i="1"/>
  <c r="U307" i="1" s="1"/>
  <c r="Q327" i="1"/>
  <c r="T327" i="1" s="1"/>
  <c r="Q378" i="1"/>
  <c r="L399" i="1"/>
  <c r="O399" i="1" s="1"/>
  <c r="L496" i="1"/>
  <c r="O496" i="1" s="1"/>
  <c r="M520" i="1"/>
  <c r="P520" i="1" s="1"/>
  <c r="N578" i="1"/>
  <c r="M620" i="1"/>
  <c r="P620" i="1" s="1"/>
  <c r="J676" i="1"/>
  <c r="L762" i="1"/>
  <c r="O762" i="1" s="1"/>
  <c r="M119" i="1"/>
  <c r="P119" i="1" s="1"/>
  <c r="Q268" i="1"/>
  <c r="R161" i="1"/>
  <c r="U161" i="1" s="1"/>
  <c r="L176" i="1"/>
  <c r="L215" i="1"/>
  <c r="Q537" i="1"/>
  <c r="T537" i="1" s="1"/>
  <c r="S61" i="1"/>
  <c r="S60" i="1" s="1"/>
  <c r="N74" i="1"/>
  <c r="N73" i="1" s="1"/>
  <c r="K93" i="1"/>
  <c r="S97" i="1"/>
  <c r="P99" i="1"/>
  <c r="N98" i="1"/>
  <c r="K114" i="1"/>
  <c r="M120" i="1"/>
  <c r="P120" i="1" s="1"/>
  <c r="L164" i="1"/>
  <c r="O164" i="1" s="1"/>
  <c r="I173" i="1"/>
  <c r="K173" i="1" s="1"/>
  <c r="P181" i="1"/>
  <c r="R193" i="1"/>
  <c r="U193" i="1" s="1"/>
  <c r="K220" i="1"/>
  <c r="L268" i="1"/>
  <c r="O268" i="1" s="1"/>
  <c r="K277" i="1"/>
  <c r="P288" i="1"/>
  <c r="N285" i="1"/>
  <c r="P285" i="1" s="1"/>
  <c r="R305" i="1"/>
  <c r="U305" i="1" s="1"/>
  <c r="N304" i="1"/>
  <c r="R310" i="1"/>
  <c r="U310" i="1" s="1"/>
  <c r="Q335" i="1"/>
  <c r="T335" i="1" s="1"/>
  <c r="Q337" i="1"/>
  <c r="T337" i="1" s="1"/>
  <c r="O362" i="1"/>
  <c r="U362" i="1"/>
  <c r="L382" i="1"/>
  <c r="O382" i="1" s="1"/>
  <c r="U384" i="1"/>
  <c r="M394" i="1"/>
  <c r="P394" i="1" s="1"/>
  <c r="O400" i="1"/>
  <c r="J461" i="1"/>
  <c r="J469" i="1"/>
  <c r="M495" i="1"/>
  <c r="P495" i="1" s="1"/>
  <c r="P501" i="1"/>
  <c r="S536" i="1"/>
  <c r="M541" i="1"/>
  <c r="P541" i="1" s="1"/>
  <c r="M646" i="1"/>
  <c r="P646" i="1" s="1"/>
  <c r="M644" i="1"/>
  <c r="P644" i="1" s="1"/>
  <c r="J703" i="1"/>
  <c r="S718" i="1"/>
  <c r="L730" i="1"/>
  <c r="O730" i="1" s="1"/>
  <c r="N730" i="1"/>
  <c r="N763" i="1"/>
  <c r="L97" i="1"/>
  <c r="O97" i="1" s="1"/>
  <c r="K199" i="1"/>
  <c r="R268" i="1"/>
  <c r="U268" i="1" s="1"/>
  <c r="Q270" i="1"/>
  <c r="J476" i="1"/>
  <c r="M23" i="1"/>
  <c r="P23" i="1" s="1"/>
  <c r="L63" i="1"/>
  <c r="R66" i="1"/>
  <c r="U66" i="1" s="1"/>
  <c r="L76" i="1"/>
  <c r="M98" i="1"/>
  <c r="P98" i="1" s="1"/>
  <c r="K109" i="1"/>
  <c r="U123" i="1"/>
  <c r="M160" i="1"/>
  <c r="M164" i="1"/>
  <c r="P164" i="1" s="1"/>
  <c r="I186" i="1"/>
  <c r="K186" i="1" s="1"/>
  <c r="P192" i="1"/>
  <c r="O204" i="1"/>
  <c r="K210" i="1"/>
  <c r="M268" i="1"/>
  <c r="P268" i="1" s="1"/>
  <c r="M269" i="1"/>
  <c r="K294" i="1"/>
  <c r="S305" i="1"/>
  <c r="S323" i="1"/>
  <c r="M337" i="1"/>
  <c r="U341" i="1"/>
  <c r="P400" i="1"/>
  <c r="Q416" i="1"/>
  <c r="T416" i="1" s="1"/>
  <c r="M496" i="1"/>
  <c r="P496" i="1" s="1"/>
  <c r="N497" i="1"/>
  <c r="U539" i="1"/>
  <c r="O542" i="1"/>
  <c r="L557" i="1"/>
  <c r="O557" i="1" s="1"/>
  <c r="Q557" i="1"/>
  <c r="T557" i="1" s="1"/>
  <c r="N558" i="1"/>
  <c r="M580" i="1"/>
  <c r="P580" i="1" s="1"/>
  <c r="S578" i="1"/>
  <c r="K628" i="1"/>
  <c r="N646" i="1"/>
  <c r="N649" i="1"/>
  <c r="L731" i="1"/>
  <c r="O731" i="1" s="1"/>
  <c r="Q762" i="1"/>
  <c r="T762" i="1" s="1"/>
  <c r="N27" i="1"/>
  <c r="R396" i="1"/>
  <c r="U396" i="1" s="1"/>
  <c r="Q23" i="1"/>
  <c r="T23" i="1" s="1"/>
  <c r="Q47" i="1"/>
  <c r="T47" i="1" s="1"/>
  <c r="M124" i="1"/>
  <c r="P124" i="1" s="1"/>
  <c r="Q189" i="1"/>
  <c r="N268" i="1"/>
  <c r="N270" i="1"/>
  <c r="P272" i="1"/>
  <c r="L305" i="1"/>
  <c r="O305" i="1" s="1"/>
  <c r="Q322" i="1"/>
  <c r="T322" i="1" s="1"/>
  <c r="L323" i="1"/>
  <c r="N340" i="1"/>
  <c r="R358" i="1"/>
  <c r="U358" i="1" s="1"/>
  <c r="N358" i="1"/>
  <c r="S394" i="1"/>
  <c r="Q515" i="1"/>
  <c r="T515" i="1" s="1"/>
  <c r="R557" i="1"/>
  <c r="U557" i="1" s="1"/>
  <c r="O581" i="1"/>
  <c r="S606" i="1"/>
  <c r="N620" i="1"/>
  <c r="S717" i="1"/>
  <c r="M731" i="1"/>
  <c r="P731" i="1" s="1"/>
  <c r="T734" i="1"/>
  <c r="K747" i="1"/>
  <c r="O765" i="1"/>
  <c r="R767" i="1"/>
  <c r="U767" i="1" s="1"/>
  <c r="Q119" i="1"/>
  <c r="T119" i="1" s="1"/>
  <c r="S24" i="1"/>
  <c r="O78" i="1"/>
  <c r="O48" i="1"/>
  <c r="T50" i="1"/>
  <c r="Q61" i="1"/>
  <c r="T61" i="1" s="1"/>
  <c r="U67" i="1"/>
  <c r="S66" i="1"/>
  <c r="M75" i="1"/>
  <c r="P75" i="1" s="1"/>
  <c r="N76" i="1"/>
  <c r="M26" i="1"/>
  <c r="P26" i="1" s="1"/>
  <c r="U100" i="1"/>
  <c r="N101" i="1"/>
  <c r="L142" i="1"/>
  <c r="L140" i="1" s="1"/>
  <c r="Q175" i="1"/>
  <c r="T175" i="1" s="1"/>
  <c r="J196" i="1"/>
  <c r="K196" i="1" s="1"/>
  <c r="N286" i="1"/>
  <c r="O288" i="1"/>
  <c r="S285" i="1"/>
  <c r="K296" i="1"/>
  <c r="N310" i="1"/>
  <c r="M323" i="1"/>
  <c r="S322" i="1"/>
  <c r="M359" i="1"/>
  <c r="L359" i="1"/>
  <c r="K370" i="1"/>
  <c r="N415" i="1"/>
  <c r="N414" i="1" s="1"/>
  <c r="R515" i="1"/>
  <c r="U515" i="1" s="1"/>
  <c r="M517" i="1"/>
  <c r="P517" i="1" s="1"/>
  <c r="S520" i="1"/>
  <c r="S557" i="1"/>
  <c r="N559" i="1"/>
  <c r="Q562" i="1"/>
  <c r="T562" i="1" s="1"/>
  <c r="S562" i="1"/>
  <c r="M583" i="1"/>
  <c r="P583" i="1" s="1"/>
  <c r="N606" i="1"/>
  <c r="L618" i="1"/>
  <c r="O618" i="1" s="1"/>
  <c r="L692" i="1"/>
  <c r="O692" i="1" s="1"/>
  <c r="Q697" i="1"/>
  <c r="T697" i="1" s="1"/>
  <c r="S693" i="1"/>
  <c r="K706" i="1"/>
  <c r="S732" i="1"/>
  <c r="K784" i="1"/>
  <c r="L289" i="1"/>
  <c r="O289" i="1" s="1"/>
  <c r="Q306" i="1"/>
  <c r="Q336" i="1"/>
  <c r="T336" i="1" s="1"/>
  <c r="P339" i="1"/>
  <c r="Q415" i="1"/>
  <c r="T415" i="1" s="1"/>
  <c r="N517" i="1"/>
  <c r="S579" i="1"/>
  <c r="R601" i="1"/>
  <c r="U601" i="1" s="1"/>
  <c r="M623" i="1"/>
  <c r="P623" i="1" s="1"/>
  <c r="J637" i="1"/>
  <c r="J636" i="1" s="1"/>
  <c r="N61" i="1"/>
  <c r="P78" i="1"/>
  <c r="M76" i="1"/>
  <c r="L121" i="1"/>
  <c r="O121" i="1" s="1"/>
  <c r="O122" i="1"/>
  <c r="O123" i="1"/>
  <c r="L120" i="1"/>
  <c r="O120" i="1" s="1"/>
  <c r="U145" i="1"/>
  <c r="R142" i="1"/>
  <c r="U142" i="1" s="1"/>
  <c r="T162" i="1"/>
  <c r="S160" i="1"/>
  <c r="S158" i="1" s="1"/>
  <c r="S161" i="1"/>
  <c r="R175" i="1"/>
  <c r="L190" i="1"/>
  <c r="O191" i="1"/>
  <c r="S190" i="1"/>
  <c r="S189" i="1"/>
  <c r="U189" i="1" s="1"/>
  <c r="T311" i="1"/>
  <c r="Q310" i="1"/>
  <c r="T310" i="1" s="1"/>
  <c r="M382" i="1"/>
  <c r="P382" i="1" s="1"/>
  <c r="L23" i="1"/>
  <c r="O23" i="1" s="1"/>
  <c r="S23" i="1"/>
  <c r="N26" i="1"/>
  <c r="S63" i="1"/>
  <c r="N97" i="1"/>
  <c r="N95" i="1" s="1"/>
  <c r="S98" i="1"/>
  <c r="S96" i="1"/>
  <c r="P103" i="1"/>
  <c r="M97" i="1"/>
  <c r="R124" i="1"/>
  <c r="U124" i="1" s="1"/>
  <c r="U125" i="1"/>
  <c r="S143" i="1"/>
  <c r="S141" i="1"/>
  <c r="S140" i="1" s="1"/>
  <c r="P162" i="1"/>
  <c r="M161" i="1"/>
  <c r="M159" i="1"/>
  <c r="P159" i="1" s="1"/>
  <c r="K230" i="1"/>
  <c r="I222" i="1"/>
  <c r="K222" i="1" s="1"/>
  <c r="P309" i="1"/>
  <c r="R327" i="1"/>
  <c r="U327" i="1" s="1"/>
  <c r="U328" i="1"/>
  <c r="S336" i="1"/>
  <c r="S337" i="1"/>
  <c r="M396" i="1"/>
  <c r="P396" i="1" s="1"/>
  <c r="M395" i="1"/>
  <c r="P398" i="1"/>
  <c r="P80" i="1"/>
  <c r="M74" i="1"/>
  <c r="L187" i="1"/>
  <c r="O188" i="1"/>
  <c r="L270" i="1"/>
  <c r="O270" i="1" s="1"/>
  <c r="O272" i="1"/>
  <c r="Q286" i="1"/>
  <c r="T286" i="1" s="1"/>
  <c r="T288" i="1"/>
  <c r="T308" i="1"/>
  <c r="Q307" i="1"/>
  <c r="T307" i="1" s="1"/>
  <c r="L336" i="1"/>
  <c r="O339" i="1"/>
  <c r="R76" i="1"/>
  <c r="U77" i="1"/>
  <c r="R97" i="1"/>
  <c r="Q101" i="1"/>
  <c r="T101" i="1" s="1"/>
  <c r="Q97" i="1"/>
  <c r="L124" i="1"/>
  <c r="O124" i="1" s="1"/>
  <c r="O125" i="1"/>
  <c r="Q146" i="1"/>
  <c r="T146" i="1" s="1"/>
  <c r="N160" i="1"/>
  <c r="M188" i="1"/>
  <c r="P188" i="1" s="1"/>
  <c r="I282" i="1"/>
  <c r="K282" i="1" s="1"/>
  <c r="M306" i="1"/>
  <c r="P306" i="1" s="1"/>
  <c r="N307" i="1"/>
  <c r="L327" i="1"/>
  <c r="O327" i="1" s="1"/>
  <c r="O328" i="1"/>
  <c r="L322" i="1"/>
  <c r="N337" i="1"/>
  <c r="N335" i="1"/>
  <c r="U564" i="1"/>
  <c r="R558" i="1"/>
  <c r="U558" i="1" s="1"/>
  <c r="N579" i="1"/>
  <c r="N580" i="1"/>
  <c r="M606" i="1"/>
  <c r="P606" i="1" s="1"/>
  <c r="P607" i="1"/>
  <c r="N119" i="1"/>
  <c r="N121" i="1"/>
  <c r="S124" i="1"/>
  <c r="N23" i="1"/>
  <c r="Q26" i="1"/>
  <c r="T26" i="1" s="1"/>
  <c r="S27" i="1"/>
  <c r="R74" i="1"/>
  <c r="I84" i="1"/>
  <c r="Q24" i="1"/>
  <c r="S26" i="1"/>
  <c r="K90" i="1"/>
  <c r="Q96" i="1"/>
  <c r="T96" i="1" s="1"/>
  <c r="L119" i="1"/>
  <c r="R121" i="1"/>
  <c r="U121" i="1" s="1"/>
  <c r="U122" i="1"/>
  <c r="R119" i="1"/>
  <c r="Q142" i="1"/>
  <c r="T142" i="1" s="1"/>
  <c r="N142" i="1"/>
  <c r="R176" i="1"/>
  <c r="U176" i="1" s="1"/>
  <c r="N177" i="1"/>
  <c r="N176" i="1"/>
  <c r="N174" i="1" s="1"/>
  <c r="M193" i="1"/>
  <c r="P193" i="1" s="1"/>
  <c r="M189" i="1"/>
  <c r="K203" i="1"/>
  <c r="Q284" i="1"/>
  <c r="T290" i="1"/>
  <c r="Q305" i="1"/>
  <c r="K320" i="1"/>
  <c r="T326" i="1"/>
  <c r="Q323" i="1"/>
  <c r="T323" i="1" s="1"/>
  <c r="R62" i="1"/>
  <c r="U62" i="1" s="1"/>
  <c r="L61" i="1"/>
  <c r="N63" i="1"/>
  <c r="M66" i="1"/>
  <c r="P66" i="1" s="1"/>
  <c r="R24" i="1"/>
  <c r="L27" i="1"/>
  <c r="L47" i="1"/>
  <c r="L45" i="1" s="1"/>
  <c r="M61" i="1"/>
  <c r="P61" i="1" s="1"/>
  <c r="L62" i="1"/>
  <c r="M63" i="1"/>
  <c r="O64" i="1"/>
  <c r="P65" i="1"/>
  <c r="L75" i="1"/>
  <c r="O75" i="1" s="1"/>
  <c r="M79" i="1"/>
  <c r="P79" i="1" s="1"/>
  <c r="I83" i="1"/>
  <c r="I71" i="1" s="1"/>
  <c r="Q141" i="1"/>
  <c r="T144" i="1"/>
  <c r="K153" i="1"/>
  <c r="I138" i="1"/>
  <c r="K138" i="1" s="1"/>
  <c r="T194" i="1"/>
  <c r="Q188" i="1"/>
  <c r="T188" i="1" s="1"/>
  <c r="N193" i="1"/>
  <c r="N189" i="1"/>
  <c r="L269" i="1"/>
  <c r="L273" i="1"/>
  <c r="O273" i="1" s="1"/>
  <c r="O275" i="1"/>
  <c r="L284" i="1"/>
  <c r="O284" i="1" s="1"/>
  <c r="Q285" i="1"/>
  <c r="T285" i="1" s="1"/>
  <c r="Q289" i="1"/>
  <c r="T289" i="1" s="1"/>
  <c r="R324" i="1"/>
  <c r="U324" i="1" s="1"/>
  <c r="R322" i="1"/>
  <c r="U325" i="1"/>
  <c r="R416" i="1"/>
  <c r="U416" i="1" s="1"/>
  <c r="U419" i="1"/>
  <c r="R289" i="1"/>
  <c r="U289" i="1" s="1"/>
  <c r="K303" i="1"/>
  <c r="N379" i="1"/>
  <c r="N377" i="1"/>
  <c r="Q396" i="1"/>
  <c r="T396" i="1" s="1"/>
  <c r="T397" i="1"/>
  <c r="O418" i="1"/>
  <c r="L415" i="1"/>
  <c r="O415" i="1" s="1"/>
  <c r="O419" i="1"/>
  <c r="L416" i="1"/>
  <c r="O416" i="1" s="1"/>
  <c r="S420" i="1"/>
  <c r="N495" i="1"/>
  <c r="T519" i="1"/>
  <c r="Q516" i="1"/>
  <c r="T516" i="1" s="1"/>
  <c r="U540" i="1"/>
  <c r="R537" i="1"/>
  <c r="U537" i="1" s="1"/>
  <c r="M562" i="1"/>
  <c r="P562" i="1" s="1"/>
  <c r="P563" i="1"/>
  <c r="M557" i="1"/>
  <c r="O622" i="1"/>
  <c r="L619" i="1"/>
  <c r="O619" i="1" s="1"/>
  <c r="K110" i="1"/>
  <c r="K130" i="1"/>
  <c r="M143" i="1"/>
  <c r="M146" i="1"/>
  <c r="P146" i="1" s="1"/>
  <c r="L175" i="1"/>
  <c r="S193" i="1"/>
  <c r="K221" i="1"/>
  <c r="S270" i="1"/>
  <c r="T272" i="1"/>
  <c r="S273" i="1"/>
  <c r="I281" i="1"/>
  <c r="K281" i="1" s="1"/>
  <c r="M322" i="1"/>
  <c r="L337" i="1"/>
  <c r="L340" i="1"/>
  <c r="O340" i="1" s="1"/>
  <c r="J333" i="1"/>
  <c r="O361" i="1"/>
  <c r="L358" i="1"/>
  <c r="O358" i="1" s="1"/>
  <c r="Q394" i="1"/>
  <c r="N399" i="1"/>
  <c r="N394" i="1"/>
  <c r="N393" i="1" s="1"/>
  <c r="T401" i="1"/>
  <c r="Q395" i="1"/>
  <c r="T395" i="1" s="1"/>
  <c r="O421" i="1"/>
  <c r="L420" i="1"/>
  <c r="O420" i="1" s="1"/>
  <c r="U498" i="1"/>
  <c r="R497" i="1"/>
  <c r="R495" i="1"/>
  <c r="O518" i="1"/>
  <c r="L515" i="1"/>
  <c r="O515" i="1" s="1"/>
  <c r="L538" i="1"/>
  <c r="O538" i="1" s="1"/>
  <c r="O539" i="1"/>
  <c r="L536" i="1"/>
  <c r="N537" i="1"/>
  <c r="N535" i="1" s="1"/>
  <c r="N541" i="1"/>
  <c r="O560" i="1"/>
  <c r="L559" i="1"/>
  <c r="O559" i="1" s="1"/>
  <c r="S603" i="1"/>
  <c r="S601" i="1"/>
  <c r="S600" i="1" s="1"/>
  <c r="R693" i="1"/>
  <c r="U699" i="1"/>
  <c r="N732" i="1"/>
  <c r="N731" i="1"/>
  <c r="O65" i="1"/>
  <c r="L79" i="1"/>
  <c r="O79" i="1" s="1"/>
  <c r="K88" i="1"/>
  <c r="J94" i="1"/>
  <c r="K94" i="1" s="1"/>
  <c r="M141" i="1"/>
  <c r="Q176" i="1"/>
  <c r="T176" i="1" s="1"/>
  <c r="M177" i="1"/>
  <c r="R187" i="1"/>
  <c r="R190" i="1"/>
  <c r="T192" i="1"/>
  <c r="L193" i="1"/>
  <c r="O193" i="1" s="1"/>
  <c r="U195" i="1"/>
  <c r="J200" i="1"/>
  <c r="K229" i="1"/>
  <c r="K239" i="1"/>
  <c r="R270" i="1"/>
  <c r="R273" i="1"/>
  <c r="U273" i="1" s="1"/>
  <c r="P290" i="1"/>
  <c r="L307" i="1"/>
  <c r="L310" i="1"/>
  <c r="O310" i="1" s="1"/>
  <c r="P326" i="1"/>
  <c r="M327" i="1"/>
  <c r="P327" i="1" s="1"/>
  <c r="N327" i="1"/>
  <c r="U338" i="1"/>
  <c r="M360" i="1"/>
  <c r="P361" i="1"/>
  <c r="S382" i="1"/>
  <c r="S378" i="1"/>
  <c r="R394" i="1"/>
  <c r="U401" i="1"/>
  <c r="R395" i="1"/>
  <c r="U395" i="1" s="1"/>
  <c r="R399" i="1"/>
  <c r="U399" i="1" s="1"/>
  <c r="O502" i="1"/>
  <c r="L500" i="1"/>
  <c r="O500" i="1" s="1"/>
  <c r="T542" i="1"/>
  <c r="Q536" i="1"/>
  <c r="T536" i="1" s="1"/>
  <c r="S649" i="1"/>
  <c r="S645" i="1"/>
  <c r="S643" i="1" s="1"/>
  <c r="S697" i="1"/>
  <c r="S692" i="1"/>
  <c r="L764" i="1"/>
  <c r="O764" i="1" s="1"/>
  <c r="L763" i="1"/>
  <c r="O384" i="1"/>
  <c r="L378" i="1"/>
  <c r="O378" i="1" s="1"/>
  <c r="I457" i="1"/>
  <c r="K457" i="1" s="1"/>
  <c r="K458" i="1"/>
  <c r="M601" i="1"/>
  <c r="P601" i="1" s="1"/>
  <c r="P604" i="1"/>
  <c r="U608" i="1"/>
  <c r="R606" i="1"/>
  <c r="U606" i="1" s="1"/>
  <c r="T695" i="1"/>
  <c r="Q694" i="1"/>
  <c r="Q692" i="1"/>
  <c r="L717" i="1"/>
  <c r="O717" i="1" s="1"/>
  <c r="O723" i="1"/>
  <c r="L620" i="1"/>
  <c r="O620" i="1" s="1"/>
  <c r="U622" i="1"/>
  <c r="R620" i="1"/>
  <c r="R619" i="1"/>
  <c r="Q731" i="1"/>
  <c r="T737" i="1"/>
  <c r="Q735" i="1"/>
  <c r="T735" i="1" s="1"/>
  <c r="R63" i="1"/>
  <c r="U63" i="1" s="1"/>
  <c r="L66" i="1"/>
  <c r="O66" i="1" s="1"/>
  <c r="Q74" i="1"/>
  <c r="T74" i="1" s="1"/>
  <c r="U78" i="1"/>
  <c r="O80" i="1"/>
  <c r="Q98" i="1"/>
  <c r="R26" i="1"/>
  <c r="K115" i="1"/>
  <c r="I137" i="1"/>
  <c r="K137" i="1" s="1"/>
  <c r="K151" i="1"/>
  <c r="K154" i="1"/>
  <c r="P163" i="1"/>
  <c r="M180" i="1"/>
  <c r="P180" i="1" s="1"/>
  <c r="O192" i="1"/>
  <c r="O197" i="1"/>
  <c r="M284" i="1"/>
  <c r="M286" i="1"/>
  <c r="R286" i="1"/>
  <c r="U286" i="1" s="1"/>
  <c r="S289" i="1"/>
  <c r="O306" i="1"/>
  <c r="O309" i="1"/>
  <c r="K315" i="1"/>
  <c r="L324" i="1"/>
  <c r="R335" i="1"/>
  <c r="P380" i="1"/>
  <c r="M377" i="1"/>
  <c r="P377" i="1" s="1"/>
  <c r="S415" i="1"/>
  <c r="S417" i="1"/>
  <c r="S416" i="1"/>
  <c r="R420" i="1"/>
  <c r="U420" i="1" s="1"/>
  <c r="U422" i="1"/>
  <c r="T581" i="1"/>
  <c r="Q578" i="1"/>
  <c r="T578" i="1" s="1"/>
  <c r="R623" i="1"/>
  <c r="U623" i="1" s="1"/>
  <c r="R618" i="1"/>
  <c r="U624" i="1"/>
  <c r="K708" i="1"/>
  <c r="I690" i="1"/>
  <c r="K690" i="1" s="1"/>
  <c r="U719" i="1"/>
  <c r="R716" i="1"/>
  <c r="U716" i="1" s="1"/>
  <c r="T720" i="1"/>
  <c r="Q717" i="1"/>
  <c r="T717" i="1" s="1"/>
  <c r="Q718" i="1"/>
  <c r="T718" i="1" s="1"/>
  <c r="U736" i="1"/>
  <c r="R730" i="1"/>
  <c r="U730" i="1" s="1"/>
  <c r="S538" i="1"/>
  <c r="M417" i="1"/>
  <c r="P417" i="1" s="1"/>
  <c r="M420" i="1"/>
  <c r="P420" i="1" s="1"/>
  <c r="J486" i="1"/>
  <c r="L497" i="1"/>
  <c r="O497" i="1" s="1"/>
  <c r="K493" i="1"/>
  <c r="M515" i="1"/>
  <c r="R516" i="1"/>
  <c r="L517" i="1"/>
  <c r="O517" i="1" s="1"/>
  <c r="S517" i="1"/>
  <c r="L520" i="1"/>
  <c r="M536" i="1"/>
  <c r="P536" i="1" s="1"/>
  <c r="N557" i="1"/>
  <c r="L558" i="1"/>
  <c r="O558" i="1" s="1"/>
  <c r="R562" i="1"/>
  <c r="U562" i="1" s="1"/>
  <c r="M579" i="1"/>
  <c r="L603" i="1"/>
  <c r="O603" i="1" s="1"/>
  <c r="O604" i="1"/>
  <c r="I616" i="1"/>
  <c r="M618" i="1"/>
  <c r="P618" i="1" s="1"/>
  <c r="P625" i="1"/>
  <c r="U648" i="1"/>
  <c r="M649" i="1"/>
  <c r="P649" i="1" s="1"/>
  <c r="J662" i="1"/>
  <c r="S694" i="1"/>
  <c r="Q716" i="1"/>
  <c r="N721" i="1"/>
  <c r="K753" i="1"/>
  <c r="K780" i="1"/>
  <c r="K786" i="1"/>
  <c r="K345" i="1"/>
  <c r="N360" i="1"/>
  <c r="T381" i="1"/>
  <c r="Q399" i="1"/>
  <c r="T399" i="1" s="1"/>
  <c r="J426" i="1"/>
  <c r="J433" i="1"/>
  <c r="M497" i="1"/>
  <c r="P497" i="1" s="1"/>
  <c r="N515" i="1"/>
  <c r="L516" i="1"/>
  <c r="S516" i="1"/>
  <c r="S514" i="1" s="1"/>
  <c r="P518" i="1"/>
  <c r="P521" i="1"/>
  <c r="L537" i="1"/>
  <c r="O537" i="1" s="1"/>
  <c r="S537" i="1"/>
  <c r="M538" i="1"/>
  <c r="P538" i="1" s="1"/>
  <c r="U542" i="1"/>
  <c r="P560" i="1"/>
  <c r="U581" i="1"/>
  <c r="M619" i="1"/>
  <c r="P619" i="1" s="1"/>
  <c r="L623" i="1"/>
  <c r="O623" i="1" s="1"/>
  <c r="N623" i="1"/>
  <c r="L645" i="1"/>
  <c r="O645" i="1" s="1"/>
  <c r="L644" i="1"/>
  <c r="O644" i="1" s="1"/>
  <c r="S646" i="1"/>
  <c r="P650" i="1"/>
  <c r="R692" i="1"/>
  <c r="U692" i="1" s="1"/>
  <c r="Q693" i="1"/>
  <c r="N697" i="1"/>
  <c r="R717" i="1"/>
  <c r="U717" i="1" s="1"/>
  <c r="Q730" i="1"/>
  <c r="Q732" i="1"/>
  <c r="M763" i="1"/>
  <c r="P763" i="1" s="1"/>
  <c r="J344" i="1"/>
  <c r="K387" i="1"/>
  <c r="L395" i="1"/>
  <c r="N396" i="1"/>
  <c r="J448" i="1"/>
  <c r="J442" i="1" s="1"/>
  <c r="L495" i="1"/>
  <c r="Q496" i="1"/>
  <c r="P498" i="1"/>
  <c r="Q517" i="1"/>
  <c r="T517" i="1" s="1"/>
  <c r="Q520" i="1"/>
  <c r="T520" i="1" s="1"/>
  <c r="M537" i="1"/>
  <c r="P537" i="1" s="1"/>
  <c r="Q559" i="1"/>
  <c r="T559" i="1" s="1"/>
  <c r="L562" i="1"/>
  <c r="O562" i="1" s="1"/>
  <c r="R578" i="1"/>
  <c r="U578" i="1" s="1"/>
  <c r="O584" i="1"/>
  <c r="L602" i="1"/>
  <c r="O602" i="1" s="1"/>
  <c r="Q603" i="1"/>
  <c r="T603" i="1" s="1"/>
  <c r="Q618" i="1"/>
  <c r="T618" i="1" s="1"/>
  <c r="P622" i="1"/>
  <c r="M645" i="1"/>
  <c r="P645" i="1" s="1"/>
  <c r="T648" i="1"/>
  <c r="J655" i="1"/>
  <c r="J683" i="1"/>
  <c r="O699" i="1"/>
  <c r="N718" i="1"/>
  <c r="N735" i="1"/>
  <c r="U737" i="1"/>
  <c r="R764" i="1"/>
  <c r="K347" i="1"/>
  <c r="S358" i="1"/>
  <c r="S379" i="1"/>
  <c r="S396" i="1"/>
  <c r="M415" i="1"/>
  <c r="P415" i="1" s="1"/>
  <c r="M416" i="1"/>
  <c r="P416" i="1" s="1"/>
  <c r="J477" i="1"/>
  <c r="R496" i="1"/>
  <c r="Q497" i="1"/>
  <c r="T501" i="1"/>
  <c r="R538" i="1"/>
  <c r="U538" i="1" s="1"/>
  <c r="R559" i="1"/>
  <c r="U559" i="1" s="1"/>
  <c r="L578" i="1"/>
  <c r="Q579" i="1"/>
  <c r="T579" i="1" s="1"/>
  <c r="T622" i="1"/>
  <c r="K654" i="1"/>
  <c r="N694" i="1"/>
  <c r="K710" i="1"/>
  <c r="M717" i="1"/>
  <c r="P717" i="1" s="1"/>
  <c r="S721" i="1"/>
  <c r="S730" i="1"/>
  <c r="J728" i="1"/>
  <c r="K728" i="1" s="1"/>
  <c r="R762" i="1"/>
  <c r="U762" i="1" s="1"/>
  <c r="L767" i="1"/>
  <c r="O767" i="1" s="1"/>
  <c r="L101" i="1"/>
  <c r="O101" i="1" s="1"/>
  <c r="O102" i="1"/>
  <c r="P145" i="1"/>
  <c r="N143" i="1"/>
  <c r="S48" i="1"/>
  <c r="L98" i="1"/>
  <c r="O98" i="1" s="1"/>
  <c r="O99" i="1"/>
  <c r="N24" i="1"/>
  <c r="L26" i="1"/>
  <c r="Q27" i="1"/>
  <c r="T27" i="1" s="1"/>
  <c r="U46" i="1"/>
  <c r="S47" i="1"/>
  <c r="S45" i="1" s="1"/>
  <c r="P50" i="1"/>
  <c r="M51" i="1"/>
  <c r="P51" i="1" s="1"/>
  <c r="K85" i="1"/>
  <c r="K91" i="1"/>
  <c r="U141" i="1"/>
  <c r="R143" i="1"/>
  <c r="U143" i="1" s="1"/>
  <c r="U144" i="1"/>
  <c r="R146" i="1"/>
  <c r="U146" i="1" s="1"/>
  <c r="U147" i="1"/>
  <c r="R98" i="1"/>
  <c r="U99" i="1"/>
  <c r="R23" i="1"/>
  <c r="O46" i="1"/>
  <c r="K128" i="1"/>
  <c r="J117" i="1"/>
  <c r="K117" i="1" s="1"/>
  <c r="L146" i="1"/>
  <c r="O146" i="1" s="1"/>
  <c r="O147" i="1"/>
  <c r="M47" i="1"/>
  <c r="M48" i="1"/>
  <c r="P48" i="1" s="1"/>
  <c r="Q121" i="1"/>
  <c r="T121" i="1" s="1"/>
  <c r="T123" i="1"/>
  <c r="Q124" i="1"/>
  <c r="T124" i="1" s="1"/>
  <c r="T126" i="1"/>
  <c r="R101" i="1"/>
  <c r="U101" i="1" s="1"/>
  <c r="U102" i="1"/>
  <c r="O141" i="1"/>
  <c r="L143" i="1"/>
  <c r="O144" i="1"/>
  <c r="Q75" i="1"/>
  <c r="T46" i="1"/>
  <c r="N47" i="1"/>
  <c r="N45" i="1" s="1"/>
  <c r="T53" i="1"/>
  <c r="Q62" i="1"/>
  <c r="T62" i="1" s="1"/>
  <c r="R96" i="1"/>
  <c r="O145" i="1"/>
  <c r="N159" i="1"/>
  <c r="Q160" i="1"/>
  <c r="T160" i="1" s="1"/>
  <c r="Q161" i="1"/>
  <c r="T161" i="1" s="1"/>
  <c r="R164" i="1"/>
  <c r="U164" i="1" s="1"/>
  <c r="P179" i="1"/>
  <c r="U181" i="1"/>
  <c r="R180" i="1"/>
  <c r="U180" i="1" s="1"/>
  <c r="K214" i="1"/>
  <c r="O50" i="1"/>
  <c r="U50" i="1"/>
  <c r="O53" i="1"/>
  <c r="Q63" i="1"/>
  <c r="T63" i="1" s="1"/>
  <c r="Q66" i="1"/>
  <c r="T66" i="1" s="1"/>
  <c r="Q76" i="1"/>
  <c r="Q79" i="1"/>
  <c r="T79" i="1" s="1"/>
  <c r="I170" i="1"/>
  <c r="K170" i="1" s="1"/>
  <c r="K169" i="1"/>
  <c r="O181" i="1"/>
  <c r="L180" i="1"/>
  <c r="O180" i="1" s="1"/>
  <c r="I139" i="1"/>
  <c r="K139" i="1" s="1"/>
  <c r="U178" i="1"/>
  <c r="R177" i="1"/>
  <c r="U177" i="1" s="1"/>
  <c r="L159" i="1"/>
  <c r="R159" i="1"/>
  <c r="L161" i="1"/>
  <c r="O178" i="1"/>
  <c r="L177" i="1"/>
  <c r="T191" i="1"/>
  <c r="Q190" i="1"/>
  <c r="O163" i="1"/>
  <c r="O179" i="1"/>
  <c r="M379" i="1"/>
  <c r="P379" i="1" s="1"/>
  <c r="P381" i="1"/>
  <c r="Q177" i="1"/>
  <c r="T177" i="1" s="1"/>
  <c r="Q180" i="1"/>
  <c r="T180" i="1" s="1"/>
  <c r="N324" i="1"/>
  <c r="K331" i="1"/>
  <c r="M358" i="1"/>
  <c r="Q360" i="1"/>
  <c r="T360" i="1" s="1"/>
  <c r="M363" i="1"/>
  <c r="P363" i="1" s="1"/>
  <c r="U192" i="1"/>
  <c r="Q193" i="1"/>
  <c r="T193" i="1" s="1"/>
  <c r="O195" i="1"/>
  <c r="M270" i="1"/>
  <c r="M273" i="1"/>
  <c r="P273" i="1" s="1"/>
  <c r="M307" i="1"/>
  <c r="M310" i="1"/>
  <c r="P310" i="1" s="1"/>
  <c r="I333" i="1"/>
  <c r="L360" i="1"/>
  <c r="R360" i="1"/>
  <c r="U360" i="1" s="1"/>
  <c r="T380" i="1"/>
  <c r="Q379" i="1"/>
  <c r="T383" i="1"/>
  <c r="Q382" i="1"/>
  <c r="T382" i="1" s="1"/>
  <c r="Q164" i="1"/>
  <c r="T164" i="1" s="1"/>
  <c r="P195" i="1"/>
  <c r="U288" i="1"/>
  <c r="O291" i="1"/>
  <c r="U291" i="1"/>
  <c r="T329" i="1"/>
  <c r="T339" i="1"/>
  <c r="T342" i="1"/>
  <c r="S360" i="1"/>
  <c r="L363" i="1"/>
  <c r="O363" i="1" s="1"/>
  <c r="O365" i="1"/>
  <c r="K372" i="1"/>
  <c r="I366" i="1"/>
  <c r="K366" i="1" s="1"/>
  <c r="M190" i="1"/>
  <c r="L286" i="1"/>
  <c r="Q324" i="1"/>
  <c r="T324" i="1" s="1"/>
  <c r="P362" i="1"/>
  <c r="U364" i="1"/>
  <c r="M378" i="1"/>
  <c r="O380" i="1"/>
  <c r="L379" i="1"/>
  <c r="O379" i="1" s="1"/>
  <c r="R579" i="1"/>
  <c r="U579" i="1" s="1"/>
  <c r="M603" i="1"/>
  <c r="P603" i="1" s="1"/>
  <c r="N618" i="1"/>
  <c r="Q619" i="1"/>
  <c r="P733" i="1"/>
  <c r="M732" i="1"/>
  <c r="P732" i="1" s="1"/>
  <c r="K779" i="1"/>
  <c r="K785" i="1"/>
  <c r="U650" i="1"/>
  <c r="R649" i="1"/>
  <c r="U649" i="1" s="1"/>
  <c r="P695" i="1"/>
  <c r="M694" i="1"/>
  <c r="P694" i="1" s="1"/>
  <c r="P722" i="1"/>
  <c r="M721" i="1"/>
  <c r="P721" i="1" s="1"/>
  <c r="T765" i="1"/>
  <c r="Q764" i="1"/>
  <c r="T768" i="1"/>
  <c r="Q767" i="1"/>
  <c r="T767" i="1" s="1"/>
  <c r="R602" i="1"/>
  <c r="L606" i="1"/>
  <c r="O606" i="1" s="1"/>
  <c r="Q620" i="1"/>
  <c r="K629" i="1"/>
  <c r="J633" i="1"/>
  <c r="J627" i="1" s="1"/>
  <c r="J616" i="1" s="1"/>
  <c r="O650" i="1"/>
  <c r="L649" i="1"/>
  <c r="O649" i="1" s="1"/>
  <c r="M730" i="1"/>
  <c r="T766" i="1"/>
  <c r="I759" i="1"/>
  <c r="K759" i="1" s="1"/>
  <c r="K773" i="1"/>
  <c r="K783" i="1"/>
  <c r="Q417" i="1"/>
  <c r="T417" i="1" s="1"/>
  <c r="Q420" i="1"/>
  <c r="T420" i="1" s="1"/>
  <c r="K504" i="1"/>
  <c r="Q538" i="1"/>
  <c r="T538" i="1" s="1"/>
  <c r="Q541" i="1"/>
  <c r="T541" i="1" s="1"/>
  <c r="Q580" i="1"/>
  <c r="T580" i="1" s="1"/>
  <c r="Q583" i="1"/>
  <c r="T583" i="1" s="1"/>
  <c r="P585" i="1"/>
  <c r="P605" i="1"/>
  <c r="K630" i="1"/>
  <c r="K632" i="1"/>
  <c r="N645" i="1"/>
  <c r="N643" i="1" s="1"/>
  <c r="T647" i="1"/>
  <c r="Q646" i="1"/>
  <c r="M692" i="1"/>
  <c r="S716" i="1"/>
  <c r="P719" i="1"/>
  <c r="M718" i="1"/>
  <c r="P718" i="1" s="1"/>
  <c r="K743" i="1"/>
  <c r="S761" i="1"/>
  <c r="M764" i="1"/>
  <c r="P764" i="1" s="1"/>
  <c r="S764" i="1"/>
  <c r="M767" i="1"/>
  <c r="P767" i="1" s="1"/>
  <c r="S767" i="1"/>
  <c r="R379" i="1"/>
  <c r="U379" i="1" s="1"/>
  <c r="P384" i="1"/>
  <c r="L417" i="1"/>
  <c r="O417" i="1" s="1"/>
  <c r="R417" i="1"/>
  <c r="U417" i="1" s="1"/>
  <c r="P419" i="1"/>
  <c r="P422" i="1"/>
  <c r="O519" i="1"/>
  <c r="U519" i="1"/>
  <c r="O522" i="1"/>
  <c r="U522" i="1"/>
  <c r="P540" i="1"/>
  <c r="P543" i="1"/>
  <c r="P582" i="1"/>
  <c r="R583" i="1"/>
  <c r="U583" i="1" s="1"/>
  <c r="Q601" i="1"/>
  <c r="R603" i="1"/>
  <c r="U603" i="1" s="1"/>
  <c r="T604" i="1"/>
  <c r="Q606" i="1"/>
  <c r="T606" i="1" s="1"/>
  <c r="Q644" i="1"/>
  <c r="U647" i="1"/>
  <c r="R646" i="1"/>
  <c r="P736" i="1"/>
  <c r="M735" i="1"/>
  <c r="P735" i="1" s="1"/>
  <c r="K781" i="1"/>
  <c r="Q623" i="1"/>
  <c r="T623" i="1" s="1"/>
  <c r="T625" i="1"/>
  <c r="R644" i="1"/>
  <c r="O647" i="1"/>
  <c r="L646" i="1"/>
  <c r="O646" i="1" s="1"/>
  <c r="P698" i="1"/>
  <c r="M697" i="1"/>
  <c r="P697" i="1" s="1"/>
  <c r="M716" i="1"/>
  <c r="Q649" i="1"/>
  <c r="T649" i="1" s="1"/>
  <c r="L694" i="1"/>
  <c r="O694" i="1" s="1"/>
  <c r="R694" i="1"/>
  <c r="L697" i="1"/>
  <c r="O697" i="1" s="1"/>
  <c r="R697" i="1"/>
  <c r="U697" i="1" s="1"/>
  <c r="L718" i="1"/>
  <c r="O718" i="1" s="1"/>
  <c r="R718" i="1"/>
  <c r="U718" i="1" s="1"/>
  <c r="L721" i="1"/>
  <c r="O721" i="1" s="1"/>
  <c r="R721" i="1"/>
  <c r="U721" i="1" s="1"/>
  <c r="L732" i="1"/>
  <c r="O732" i="1" s="1"/>
  <c r="R732" i="1"/>
  <c r="L735" i="1"/>
  <c r="O735" i="1" s="1"/>
  <c r="R735" i="1"/>
  <c r="U735" i="1" s="1"/>
  <c r="P648" i="1"/>
  <c r="P651" i="1"/>
  <c r="U763" i="1"/>
  <c r="O766" i="1"/>
  <c r="U766" i="1"/>
  <c r="O769" i="1"/>
  <c r="U769" i="1"/>
  <c r="T763" i="15" l="1"/>
  <c r="R494" i="5"/>
  <c r="U494" i="5" s="1"/>
  <c r="N600" i="1"/>
  <c r="S118" i="1"/>
  <c r="S174" i="1"/>
  <c r="O359" i="3"/>
  <c r="K616" i="14"/>
  <c r="P285" i="14"/>
  <c r="Q158" i="14"/>
  <c r="T158" i="14" s="1"/>
  <c r="O516" i="14"/>
  <c r="R73" i="10"/>
  <c r="U73" i="10" s="1"/>
  <c r="O63" i="15"/>
  <c r="T269" i="14"/>
  <c r="P306" i="15"/>
  <c r="P187" i="12"/>
  <c r="L118" i="13"/>
  <c r="O118" i="13" s="1"/>
  <c r="U619" i="5"/>
  <c r="R73" i="12"/>
  <c r="U73" i="12" s="1"/>
  <c r="T693" i="14"/>
  <c r="T270" i="15"/>
  <c r="K702" i="15"/>
  <c r="K616" i="8"/>
  <c r="R761" i="14"/>
  <c r="U761" i="14" s="1"/>
  <c r="I71" i="15"/>
  <c r="K71" i="15" s="1"/>
  <c r="Q414" i="12"/>
  <c r="T414" i="12" s="1"/>
  <c r="T307" i="4"/>
  <c r="K375" i="7"/>
  <c r="T267" i="14"/>
  <c r="R376" i="4"/>
  <c r="U376" i="4" s="1"/>
  <c r="T732" i="7"/>
  <c r="L95" i="13"/>
  <c r="O95" i="13" s="1"/>
  <c r="Q376" i="15"/>
  <c r="T307" i="14"/>
  <c r="P75" i="15"/>
  <c r="T98" i="15"/>
  <c r="K375" i="11"/>
  <c r="U620" i="2"/>
  <c r="P189" i="11"/>
  <c r="M25" i="12"/>
  <c r="P25" i="12" s="1"/>
  <c r="L514" i="13"/>
  <c r="O514" i="13" s="1"/>
  <c r="M174" i="3"/>
  <c r="P174" i="3" s="1"/>
  <c r="L73" i="6"/>
  <c r="O73" i="6" s="1"/>
  <c r="Q73" i="14"/>
  <c r="T73" i="14" s="1"/>
  <c r="Q729" i="15"/>
  <c r="T729" i="15" s="1"/>
  <c r="T731" i="9"/>
  <c r="Q414" i="15"/>
  <c r="T414" i="15" s="1"/>
  <c r="T189" i="15"/>
  <c r="U732" i="10"/>
  <c r="I413" i="13"/>
  <c r="K413" i="13" s="1"/>
  <c r="K702" i="13"/>
  <c r="L140" i="14"/>
  <c r="O140" i="14" s="1"/>
  <c r="U189" i="14"/>
  <c r="I71" i="14"/>
  <c r="K71" i="14" s="1"/>
  <c r="U497" i="15"/>
  <c r="Q304" i="14"/>
  <c r="T304" i="14" s="1"/>
  <c r="O187" i="12"/>
  <c r="P62" i="14"/>
  <c r="T189" i="14"/>
  <c r="O160" i="15"/>
  <c r="U693" i="14"/>
  <c r="M140" i="11"/>
  <c r="P140" i="11" s="1"/>
  <c r="R174" i="15"/>
  <c r="U174" i="15" s="1"/>
  <c r="K493" i="15"/>
  <c r="T379" i="15"/>
  <c r="N21" i="15"/>
  <c r="N19" i="15" s="1"/>
  <c r="U97" i="15"/>
  <c r="U619" i="15"/>
  <c r="K375" i="12"/>
  <c r="L267" i="13"/>
  <c r="O267" i="13" s="1"/>
  <c r="O189" i="12"/>
  <c r="U761" i="9"/>
  <c r="L514" i="11"/>
  <c r="O514" i="11" s="1"/>
  <c r="L158" i="13"/>
  <c r="O158" i="13" s="1"/>
  <c r="M95" i="15"/>
  <c r="P95" i="15" s="1"/>
  <c r="O161" i="1"/>
  <c r="P47" i="12"/>
  <c r="P269" i="13"/>
  <c r="O174" i="15"/>
  <c r="N691" i="1"/>
  <c r="P267" i="15"/>
  <c r="P304" i="15"/>
  <c r="T269" i="1"/>
  <c r="Q376" i="9"/>
  <c r="T376" i="9" s="1"/>
  <c r="Q414" i="13"/>
  <c r="T414" i="13" s="1"/>
  <c r="L158" i="14"/>
  <c r="O158" i="14" s="1"/>
  <c r="U24" i="14"/>
  <c r="R643" i="15"/>
  <c r="U643" i="15" s="1"/>
  <c r="S267" i="1"/>
  <c r="K333" i="8"/>
  <c r="K375" i="10"/>
  <c r="T376" i="14"/>
  <c r="L283" i="12"/>
  <c r="O283" i="12" s="1"/>
  <c r="K702" i="14"/>
  <c r="T304" i="15"/>
  <c r="R414" i="15"/>
  <c r="U414" i="15" s="1"/>
  <c r="U269" i="1"/>
  <c r="Q158" i="10"/>
  <c r="T158" i="10" s="1"/>
  <c r="T732" i="10"/>
  <c r="T98" i="9"/>
  <c r="L118" i="12"/>
  <c r="O118" i="12" s="1"/>
  <c r="O269" i="14"/>
  <c r="T619" i="15"/>
  <c r="P336" i="15"/>
  <c r="P142" i="15"/>
  <c r="T24" i="9"/>
  <c r="R761" i="13"/>
  <c r="U761" i="13" s="1"/>
  <c r="R643" i="14"/>
  <c r="U643" i="14" s="1"/>
  <c r="K375" i="14"/>
  <c r="T691" i="15"/>
  <c r="T731" i="5"/>
  <c r="U269" i="13"/>
  <c r="Q174" i="14"/>
  <c r="T174" i="14" s="1"/>
  <c r="R376" i="14"/>
  <c r="U376" i="14" s="1"/>
  <c r="O323" i="4"/>
  <c r="L140" i="11"/>
  <c r="O140" i="11" s="1"/>
  <c r="K424" i="14"/>
  <c r="M140" i="14"/>
  <c r="P140" i="14" s="1"/>
  <c r="O189" i="11"/>
  <c r="R304" i="14"/>
  <c r="U304" i="14" s="1"/>
  <c r="K333" i="15"/>
  <c r="M140" i="15"/>
  <c r="P140" i="15" s="1"/>
  <c r="P47" i="15"/>
  <c r="I413" i="15"/>
  <c r="K413" i="15" s="1"/>
  <c r="O45" i="15"/>
  <c r="P359" i="14"/>
  <c r="M60" i="14"/>
  <c r="P60" i="14" s="1"/>
  <c r="R187" i="15"/>
  <c r="T378" i="14"/>
  <c r="P187" i="15"/>
  <c r="T269" i="12"/>
  <c r="R158" i="15"/>
  <c r="U158" i="15" s="1"/>
  <c r="T693" i="15"/>
  <c r="O359" i="15"/>
  <c r="P359" i="15"/>
  <c r="P45" i="15"/>
  <c r="T121" i="15"/>
  <c r="O142" i="15"/>
  <c r="L140" i="15"/>
  <c r="O140" i="15" s="1"/>
  <c r="Q643" i="2"/>
  <c r="T643" i="2" s="1"/>
  <c r="I232" i="12"/>
  <c r="K232" i="12" s="1"/>
  <c r="K424" i="12"/>
  <c r="N60" i="13"/>
  <c r="O60" i="13" s="1"/>
  <c r="T187" i="13"/>
  <c r="L321" i="14"/>
  <c r="O321" i="14" s="1"/>
  <c r="O176" i="15"/>
  <c r="T376" i="15"/>
  <c r="R22" i="15"/>
  <c r="L60" i="15"/>
  <c r="O60" i="15" s="1"/>
  <c r="O360" i="14"/>
  <c r="L118" i="11"/>
  <c r="O118" i="11" s="1"/>
  <c r="U619" i="14"/>
  <c r="Q22" i="14"/>
  <c r="T22" i="14" s="1"/>
  <c r="P47" i="14"/>
  <c r="U732" i="15"/>
  <c r="U24" i="15"/>
  <c r="O334" i="15"/>
  <c r="U187" i="15"/>
  <c r="T187" i="15"/>
  <c r="L304" i="5"/>
  <c r="O304" i="5" s="1"/>
  <c r="M140" i="10"/>
  <c r="P140" i="10" s="1"/>
  <c r="T732" i="11"/>
  <c r="P62" i="13"/>
  <c r="M95" i="14"/>
  <c r="P95" i="14" s="1"/>
  <c r="O75" i="14"/>
  <c r="U118" i="14"/>
  <c r="O97" i="14"/>
  <c r="P189" i="15"/>
  <c r="P269" i="15"/>
  <c r="Q118" i="13"/>
  <c r="T118" i="13" s="1"/>
  <c r="U142" i="14"/>
  <c r="S21" i="14"/>
  <c r="S19" i="14" s="1"/>
  <c r="T19" i="14" s="1"/>
  <c r="Q617" i="15"/>
  <c r="T617" i="15" s="1"/>
  <c r="Q158" i="15"/>
  <c r="T158" i="15" s="1"/>
  <c r="M158" i="15"/>
  <c r="P158" i="15" s="1"/>
  <c r="P174" i="15"/>
  <c r="L118" i="15"/>
  <c r="O118" i="15" s="1"/>
  <c r="N22" i="15"/>
  <c r="O22" i="15" s="1"/>
  <c r="K375" i="15"/>
  <c r="M60" i="15"/>
  <c r="P60" i="15" s="1"/>
  <c r="Q22" i="15"/>
  <c r="Q643" i="15"/>
  <c r="T643" i="15" s="1"/>
  <c r="O306" i="15"/>
  <c r="L304" i="15"/>
  <c r="O304" i="15" s="1"/>
  <c r="U732" i="7"/>
  <c r="P189" i="9"/>
  <c r="R729" i="11"/>
  <c r="U729" i="11" s="1"/>
  <c r="R643" i="11"/>
  <c r="U643" i="11" s="1"/>
  <c r="M73" i="12"/>
  <c r="P73" i="12" s="1"/>
  <c r="R140" i="13"/>
  <c r="U140" i="13" s="1"/>
  <c r="R494" i="14"/>
  <c r="U494" i="14" s="1"/>
  <c r="T24" i="14"/>
  <c r="O336" i="15"/>
  <c r="U306" i="15"/>
  <c r="Q118" i="15"/>
  <c r="T118" i="15" s="1"/>
  <c r="L158" i="15"/>
  <c r="O158" i="15" s="1"/>
  <c r="R617" i="15"/>
  <c r="U617" i="15" s="1"/>
  <c r="T269" i="15"/>
  <c r="Q267" i="15"/>
  <c r="T267" i="15" s="1"/>
  <c r="P27" i="15"/>
  <c r="M25" i="15"/>
  <c r="P25" i="15" s="1"/>
  <c r="O97" i="15"/>
  <c r="L95" i="15"/>
  <c r="O95" i="15" s="1"/>
  <c r="L283" i="9"/>
  <c r="O283" i="9" s="1"/>
  <c r="U691" i="11"/>
  <c r="O359" i="11"/>
  <c r="R140" i="12"/>
  <c r="U140" i="12" s="1"/>
  <c r="M95" i="12"/>
  <c r="P95" i="12" s="1"/>
  <c r="U120" i="14"/>
  <c r="P75" i="9"/>
  <c r="U693" i="11"/>
  <c r="P321" i="15"/>
  <c r="L357" i="15"/>
  <c r="O357" i="15" s="1"/>
  <c r="Q140" i="15"/>
  <c r="T140" i="15" s="1"/>
  <c r="U267" i="6"/>
  <c r="T306" i="11"/>
  <c r="U121" i="12"/>
  <c r="L118" i="14"/>
  <c r="O118" i="14" s="1"/>
  <c r="M73" i="14"/>
  <c r="P73" i="14" s="1"/>
  <c r="M357" i="15"/>
  <c r="P357" i="15" s="1"/>
  <c r="O337" i="15"/>
  <c r="P176" i="15"/>
  <c r="U693" i="15"/>
  <c r="R691" i="15"/>
  <c r="U691" i="15" s="1"/>
  <c r="O47" i="15"/>
  <c r="R267" i="9"/>
  <c r="U267" i="9" s="1"/>
  <c r="P174" i="10"/>
  <c r="T693" i="11"/>
  <c r="P190" i="11"/>
  <c r="P140" i="12"/>
  <c r="T494" i="13"/>
  <c r="M334" i="15"/>
  <c r="P334" i="15" s="1"/>
  <c r="T306" i="15"/>
  <c r="N41" i="15"/>
  <c r="T494" i="15"/>
  <c r="U494" i="15"/>
  <c r="U267" i="13"/>
  <c r="L514" i="15"/>
  <c r="O514" i="15" s="1"/>
  <c r="T496" i="15"/>
  <c r="U763" i="15"/>
  <c r="U496" i="15"/>
  <c r="I72" i="15"/>
  <c r="K72" i="15" s="1"/>
  <c r="K84" i="15"/>
  <c r="M21" i="15"/>
  <c r="M22" i="15"/>
  <c r="P24" i="15"/>
  <c r="M73" i="15"/>
  <c r="P120" i="15"/>
  <c r="M118" i="15"/>
  <c r="P118" i="15" s="1"/>
  <c r="L25" i="15"/>
  <c r="O25" i="15" s="1"/>
  <c r="L233" i="15"/>
  <c r="L283" i="15"/>
  <c r="O283" i="15" s="1"/>
  <c r="O285" i="15"/>
  <c r="R376" i="15"/>
  <c r="U376" i="15" s="1"/>
  <c r="P323" i="15"/>
  <c r="R73" i="15"/>
  <c r="U75" i="15"/>
  <c r="U269" i="15"/>
  <c r="R267" i="15"/>
  <c r="U267" i="15" s="1"/>
  <c r="T24" i="15"/>
  <c r="M514" i="15"/>
  <c r="P514" i="15" s="1"/>
  <c r="S761" i="15"/>
  <c r="T761" i="15" s="1"/>
  <c r="U764" i="15"/>
  <c r="L187" i="15"/>
  <c r="O187" i="15" s="1"/>
  <c r="O189" i="15"/>
  <c r="L73" i="15"/>
  <c r="O75" i="15"/>
  <c r="O323" i="15"/>
  <c r="P285" i="15"/>
  <c r="T176" i="15"/>
  <c r="Q174" i="15"/>
  <c r="T174" i="15" s="1"/>
  <c r="L321" i="15"/>
  <c r="O321" i="15" s="1"/>
  <c r="K243" i="15"/>
  <c r="I232" i="15"/>
  <c r="L304" i="14"/>
  <c r="O304" i="14" s="1"/>
  <c r="R729" i="15"/>
  <c r="U729" i="15" s="1"/>
  <c r="P283" i="15"/>
  <c r="L21" i="15"/>
  <c r="O24" i="15"/>
  <c r="O269" i="15"/>
  <c r="L267" i="15"/>
  <c r="O267" i="15" s="1"/>
  <c r="T694" i="15"/>
  <c r="U694" i="15"/>
  <c r="S21" i="15"/>
  <c r="S22" i="15"/>
  <c r="R118" i="15"/>
  <c r="U118" i="15" s="1"/>
  <c r="S73" i="15"/>
  <c r="T73" i="15" s="1"/>
  <c r="T496" i="13"/>
  <c r="U98" i="14"/>
  <c r="P120" i="14"/>
  <c r="M118" i="14"/>
  <c r="P118" i="14" s="1"/>
  <c r="T95" i="14"/>
  <c r="U617" i="14"/>
  <c r="N21" i="14"/>
  <c r="N19" i="14" s="1"/>
  <c r="T376" i="13"/>
  <c r="Q691" i="14"/>
  <c r="T691" i="14" s="1"/>
  <c r="L321" i="12"/>
  <c r="O321" i="12" s="1"/>
  <c r="O323" i="13"/>
  <c r="P45" i="14"/>
  <c r="I72" i="14"/>
  <c r="K72" i="14" s="1"/>
  <c r="K84" i="14"/>
  <c r="L73" i="12"/>
  <c r="O73" i="12" s="1"/>
  <c r="R95" i="13"/>
  <c r="U95" i="13" s="1"/>
  <c r="L233" i="13"/>
  <c r="K333" i="13"/>
  <c r="R73" i="13"/>
  <c r="U73" i="13" s="1"/>
  <c r="M357" i="14"/>
  <c r="P357" i="14" s="1"/>
  <c r="R22" i="14"/>
  <c r="U22" i="14" s="1"/>
  <c r="R21" i="14"/>
  <c r="T729" i="13"/>
  <c r="U620" i="13"/>
  <c r="M304" i="13"/>
  <c r="P304" i="13" s="1"/>
  <c r="L73" i="13"/>
  <c r="O73" i="13" s="1"/>
  <c r="O336" i="14"/>
  <c r="P304" i="9"/>
  <c r="K702" i="11"/>
  <c r="T378" i="11"/>
  <c r="O176" i="13"/>
  <c r="P270" i="13"/>
  <c r="U620" i="1"/>
  <c r="Q494" i="11"/>
  <c r="T494" i="11" s="1"/>
  <c r="I71" i="13"/>
  <c r="K71" i="13" s="1"/>
  <c r="T729" i="14"/>
  <c r="U731" i="14"/>
  <c r="U307" i="14"/>
  <c r="U619" i="11"/>
  <c r="T267" i="11"/>
  <c r="M21" i="11"/>
  <c r="M19" i="11" s="1"/>
  <c r="M158" i="12"/>
  <c r="P158" i="12" s="1"/>
  <c r="Q376" i="12"/>
  <c r="T376" i="12" s="1"/>
  <c r="U98" i="13"/>
  <c r="T379" i="13"/>
  <c r="P357" i="13"/>
  <c r="L21" i="13"/>
  <c r="L19" i="13" s="1"/>
  <c r="U729" i="14"/>
  <c r="R158" i="14"/>
  <c r="U158" i="14" s="1"/>
  <c r="T97" i="14"/>
  <c r="T731" i="14"/>
  <c r="M514" i="14"/>
  <c r="P514" i="14" s="1"/>
  <c r="P516" i="14"/>
  <c r="I232" i="14"/>
  <c r="K254" i="14"/>
  <c r="U97" i="12"/>
  <c r="R95" i="12"/>
  <c r="U95" i="12" s="1"/>
  <c r="L21" i="14"/>
  <c r="L22" i="14"/>
  <c r="O22" i="14" s="1"/>
  <c r="O24" i="14"/>
  <c r="P174" i="14"/>
  <c r="U732" i="11"/>
  <c r="U21" i="12"/>
  <c r="U24" i="13"/>
  <c r="T619" i="14"/>
  <c r="Q617" i="14"/>
  <c r="T617" i="14" s="1"/>
  <c r="T416" i="14"/>
  <c r="Q414" i="14"/>
  <c r="T414" i="14" s="1"/>
  <c r="O334" i="14"/>
  <c r="O359" i="14"/>
  <c r="L357" i="14"/>
  <c r="O357" i="14" s="1"/>
  <c r="R691" i="14"/>
  <c r="U691" i="14" s="1"/>
  <c r="L283" i="14"/>
  <c r="O283" i="14" s="1"/>
  <c r="P323" i="14"/>
  <c r="M321" i="14"/>
  <c r="P321" i="14" s="1"/>
  <c r="L187" i="14"/>
  <c r="O189" i="14"/>
  <c r="P24" i="14"/>
  <c r="M21" i="14"/>
  <c r="Q643" i="14"/>
  <c r="T643" i="14" s="1"/>
  <c r="T731" i="11"/>
  <c r="U494" i="13"/>
  <c r="P323" i="13"/>
  <c r="Q761" i="14"/>
  <c r="T761" i="14" s="1"/>
  <c r="R174" i="14"/>
  <c r="U174" i="14" s="1"/>
  <c r="M25" i="14"/>
  <c r="P25" i="14" s="1"/>
  <c r="T142" i="14"/>
  <c r="Q140" i="14"/>
  <c r="T140" i="14" s="1"/>
  <c r="L60" i="14"/>
  <c r="O60" i="14" s="1"/>
  <c r="O62" i="14"/>
  <c r="L25" i="14"/>
  <c r="O25" i="14" s="1"/>
  <c r="O27" i="14"/>
  <c r="T379" i="10"/>
  <c r="O24" i="13"/>
  <c r="K375" i="13"/>
  <c r="P334" i="14"/>
  <c r="O244" i="14"/>
  <c r="L233" i="14"/>
  <c r="Q118" i="14"/>
  <c r="T118" i="14" s="1"/>
  <c r="T120" i="14"/>
  <c r="R187" i="14"/>
  <c r="U187" i="14" s="1"/>
  <c r="P176" i="14"/>
  <c r="L283" i="8"/>
  <c r="O283" i="8" s="1"/>
  <c r="L174" i="9"/>
  <c r="O174" i="9" s="1"/>
  <c r="P336" i="14"/>
  <c r="O174" i="14"/>
  <c r="R267" i="14"/>
  <c r="U267" i="14" s="1"/>
  <c r="U269" i="14"/>
  <c r="K333" i="14"/>
  <c r="U20" i="14"/>
  <c r="P47" i="13"/>
  <c r="T189" i="13"/>
  <c r="Q494" i="14"/>
  <c r="T494" i="14" s="1"/>
  <c r="U416" i="14"/>
  <c r="R414" i="14"/>
  <c r="U414" i="14" s="1"/>
  <c r="P269" i="14"/>
  <c r="M267" i="14"/>
  <c r="P267" i="14" s="1"/>
  <c r="M158" i="14"/>
  <c r="P158" i="14" s="1"/>
  <c r="L45" i="14"/>
  <c r="O47" i="14"/>
  <c r="M304" i="14"/>
  <c r="P304" i="14" s="1"/>
  <c r="P306" i="14"/>
  <c r="N187" i="14"/>
  <c r="P187" i="14" s="1"/>
  <c r="P189" i="14"/>
  <c r="O176" i="14"/>
  <c r="M22" i="14"/>
  <c r="P22" i="14" s="1"/>
  <c r="O45" i="13"/>
  <c r="P45" i="13"/>
  <c r="O27" i="11"/>
  <c r="P359" i="11"/>
  <c r="P176" i="11"/>
  <c r="U731" i="12"/>
  <c r="U267" i="12"/>
  <c r="O176" i="12"/>
  <c r="T120" i="11"/>
  <c r="R376" i="13"/>
  <c r="U376" i="13" s="1"/>
  <c r="U121" i="13"/>
  <c r="O27" i="13"/>
  <c r="K504" i="13"/>
  <c r="O47" i="13"/>
  <c r="R21" i="13"/>
  <c r="L22" i="13"/>
  <c r="T267" i="13"/>
  <c r="O306" i="13"/>
  <c r="L304" i="13"/>
  <c r="O304" i="13" s="1"/>
  <c r="M21" i="13"/>
  <c r="M19" i="13" s="1"/>
  <c r="T270" i="13"/>
  <c r="K254" i="13"/>
  <c r="I232" i="13"/>
  <c r="T24" i="13"/>
  <c r="Q22" i="13"/>
  <c r="T270" i="10"/>
  <c r="N267" i="13"/>
  <c r="P267" i="13" s="1"/>
  <c r="U189" i="13"/>
  <c r="R187" i="13"/>
  <c r="U187" i="13" s="1"/>
  <c r="P176" i="8"/>
  <c r="M118" i="11"/>
  <c r="P118" i="11" s="1"/>
  <c r="P359" i="13"/>
  <c r="R174" i="7"/>
  <c r="U174" i="7" s="1"/>
  <c r="S22" i="13"/>
  <c r="U22" i="13" s="1"/>
  <c r="U306" i="13"/>
  <c r="R304" i="13"/>
  <c r="U304" i="13" s="1"/>
  <c r="O189" i="13"/>
  <c r="P189" i="13"/>
  <c r="N187" i="13"/>
  <c r="P187" i="13" s="1"/>
  <c r="T693" i="12"/>
  <c r="T731" i="13"/>
  <c r="I232" i="6"/>
  <c r="K232" i="6" s="1"/>
  <c r="P47" i="8"/>
  <c r="T304" i="9"/>
  <c r="T496" i="10"/>
  <c r="T620" i="10"/>
  <c r="T379" i="11"/>
  <c r="T189" i="12"/>
  <c r="O336" i="13"/>
  <c r="L321" i="13"/>
  <c r="O321" i="13" s="1"/>
  <c r="U496" i="13"/>
  <c r="M174" i="9"/>
  <c r="P174" i="9" s="1"/>
  <c r="U729" i="13"/>
  <c r="T306" i="13"/>
  <c r="Q304" i="13"/>
  <c r="T304" i="13" s="1"/>
  <c r="P516" i="13"/>
  <c r="M514" i="13"/>
  <c r="P514" i="13" s="1"/>
  <c r="T269" i="9"/>
  <c r="R414" i="10"/>
  <c r="U414" i="10" s="1"/>
  <c r="L283" i="10"/>
  <c r="O283" i="10" s="1"/>
  <c r="R414" i="12"/>
  <c r="U414" i="12" s="1"/>
  <c r="O97" i="12"/>
  <c r="P75" i="13"/>
  <c r="Q73" i="13"/>
  <c r="T73" i="13" s="1"/>
  <c r="M73" i="7"/>
  <c r="P73" i="7" s="1"/>
  <c r="U118" i="7"/>
  <c r="R376" i="11"/>
  <c r="U376" i="11" s="1"/>
  <c r="R174" i="11"/>
  <c r="U174" i="11" s="1"/>
  <c r="O269" i="11"/>
  <c r="L73" i="11"/>
  <c r="O73" i="11" s="1"/>
  <c r="Q158" i="11"/>
  <c r="T158" i="11" s="1"/>
  <c r="Q187" i="10"/>
  <c r="T187" i="10" s="1"/>
  <c r="L514" i="12"/>
  <c r="O514" i="12" s="1"/>
  <c r="U120" i="11"/>
  <c r="U187" i="12"/>
  <c r="O24" i="12"/>
  <c r="T619" i="13"/>
  <c r="Q617" i="13"/>
  <c r="T617" i="13" s="1"/>
  <c r="P336" i="13"/>
  <c r="M321" i="13"/>
  <c r="P321" i="13" s="1"/>
  <c r="P176" i="7"/>
  <c r="R158" i="7"/>
  <c r="U158" i="7" s="1"/>
  <c r="K375" i="8"/>
  <c r="R494" i="9"/>
  <c r="U494" i="9" s="1"/>
  <c r="M118" i="12"/>
  <c r="P118" i="12" s="1"/>
  <c r="U189" i="12"/>
  <c r="T617" i="12"/>
  <c r="P189" i="12"/>
  <c r="M334" i="13"/>
  <c r="P334" i="13" s="1"/>
  <c r="K493" i="13"/>
  <c r="O142" i="13"/>
  <c r="N140" i="13"/>
  <c r="O140" i="13" s="1"/>
  <c r="Q95" i="13"/>
  <c r="T95" i="13" s="1"/>
  <c r="T97" i="13"/>
  <c r="O359" i="13"/>
  <c r="L357" i="13"/>
  <c r="O357" i="13" s="1"/>
  <c r="P97" i="13"/>
  <c r="M95" i="13"/>
  <c r="P95" i="13" s="1"/>
  <c r="T21" i="13"/>
  <c r="Q19" i="13"/>
  <c r="T19" i="13" s="1"/>
  <c r="U731" i="13"/>
  <c r="P142" i="13"/>
  <c r="Q761" i="13"/>
  <c r="T761" i="13" s="1"/>
  <c r="T763" i="13"/>
  <c r="R617" i="13"/>
  <c r="U617" i="13" s="1"/>
  <c r="U619" i="13"/>
  <c r="M73" i="8"/>
  <c r="P73" i="8" s="1"/>
  <c r="L73" i="10"/>
  <c r="O73" i="10" s="1"/>
  <c r="T118" i="11"/>
  <c r="R691" i="13"/>
  <c r="U691" i="13" s="1"/>
  <c r="U693" i="13"/>
  <c r="T620" i="13"/>
  <c r="P120" i="13"/>
  <c r="M118" i="13"/>
  <c r="P118" i="13" s="1"/>
  <c r="L95" i="11"/>
  <c r="O95" i="11" s="1"/>
  <c r="N22" i="12"/>
  <c r="O22" i="12" s="1"/>
  <c r="R643" i="13"/>
  <c r="U643" i="13" s="1"/>
  <c r="U645" i="13"/>
  <c r="Q691" i="13"/>
  <c r="T691" i="13" s="1"/>
  <c r="T693" i="13"/>
  <c r="M283" i="13"/>
  <c r="P283" i="13" s="1"/>
  <c r="L174" i="13"/>
  <c r="O174" i="13" s="1"/>
  <c r="T142" i="13"/>
  <c r="Q140" i="13"/>
  <c r="T140" i="13" s="1"/>
  <c r="U120" i="9"/>
  <c r="T120" i="9"/>
  <c r="T694" i="12"/>
  <c r="P176" i="13"/>
  <c r="M174" i="13"/>
  <c r="P174" i="13" s="1"/>
  <c r="P324" i="13"/>
  <c r="U693" i="9"/>
  <c r="Q761" i="11"/>
  <c r="T761" i="11" s="1"/>
  <c r="Q643" i="13"/>
  <c r="T643" i="13" s="1"/>
  <c r="T645" i="13"/>
  <c r="I72" i="13"/>
  <c r="K72" i="13" s="1"/>
  <c r="K84" i="13"/>
  <c r="N22" i="13"/>
  <c r="N21" i="13"/>
  <c r="M25" i="13"/>
  <c r="P25" i="13" s="1"/>
  <c r="R304" i="6"/>
  <c r="U304" i="6" s="1"/>
  <c r="Q21" i="11"/>
  <c r="T21" i="11" s="1"/>
  <c r="P269" i="11"/>
  <c r="T620" i="12"/>
  <c r="R22" i="12"/>
  <c r="L283" i="13"/>
  <c r="O283" i="13" s="1"/>
  <c r="O285" i="13"/>
  <c r="L334" i="13"/>
  <c r="O334" i="13" s="1"/>
  <c r="P160" i="13"/>
  <c r="M158" i="13"/>
  <c r="P24" i="13"/>
  <c r="Q140" i="11"/>
  <c r="T140" i="11" s="1"/>
  <c r="M95" i="11"/>
  <c r="P95" i="11" s="1"/>
  <c r="S22" i="12"/>
  <c r="T22" i="12" s="1"/>
  <c r="U270" i="9"/>
  <c r="U269" i="10"/>
  <c r="U304" i="11"/>
  <c r="R95" i="11"/>
  <c r="U95" i="11" s="1"/>
  <c r="O140" i="12"/>
  <c r="P142" i="12"/>
  <c r="N21" i="12"/>
  <c r="N19" i="12" s="1"/>
  <c r="U120" i="10"/>
  <c r="O336" i="10"/>
  <c r="M158" i="11"/>
  <c r="P158" i="11" s="1"/>
  <c r="P60" i="11"/>
  <c r="L158" i="12"/>
  <c r="O158" i="12" s="1"/>
  <c r="T75" i="12"/>
  <c r="Q73" i="12"/>
  <c r="T73" i="12" s="1"/>
  <c r="R22" i="10"/>
  <c r="O142" i="12"/>
  <c r="Q140" i="7"/>
  <c r="T140" i="7" s="1"/>
  <c r="Q174" i="9"/>
  <c r="T174" i="9" s="1"/>
  <c r="L140" i="8"/>
  <c r="O140" i="8" s="1"/>
  <c r="T97" i="9"/>
  <c r="O187" i="10"/>
  <c r="P120" i="10"/>
  <c r="Q95" i="11"/>
  <c r="T95" i="11" s="1"/>
  <c r="P267" i="11"/>
  <c r="O62" i="12"/>
  <c r="U24" i="12"/>
  <c r="R761" i="10"/>
  <c r="U761" i="10" s="1"/>
  <c r="P62" i="10"/>
  <c r="M45" i="12"/>
  <c r="P45" i="12" s="1"/>
  <c r="Q494" i="12"/>
  <c r="T494" i="12" s="1"/>
  <c r="P62" i="9"/>
  <c r="R95" i="9"/>
  <c r="U95" i="9" s="1"/>
  <c r="O62" i="9"/>
  <c r="O190" i="10"/>
  <c r="O189" i="10"/>
  <c r="U620" i="10"/>
  <c r="T189" i="11"/>
  <c r="O337" i="11"/>
  <c r="L233" i="11"/>
  <c r="P359" i="12"/>
  <c r="P62" i="12"/>
  <c r="K702" i="12"/>
  <c r="L233" i="12"/>
  <c r="L283" i="11"/>
  <c r="O283" i="11" s="1"/>
  <c r="R19" i="12"/>
  <c r="U19" i="12" s="1"/>
  <c r="N140" i="1"/>
  <c r="O140" i="1" s="1"/>
  <c r="Q691" i="10"/>
  <c r="T691" i="10" s="1"/>
  <c r="P357" i="12"/>
  <c r="T306" i="12"/>
  <c r="Q304" i="12"/>
  <c r="T304" i="12" s="1"/>
  <c r="Q21" i="12"/>
  <c r="T21" i="12" s="1"/>
  <c r="T24" i="12"/>
  <c r="P285" i="12"/>
  <c r="M283" i="12"/>
  <c r="P283" i="12" s="1"/>
  <c r="N41" i="12"/>
  <c r="T270" i="9"/>
  <c r="M283" i="10"/>
  <c r="P283" i="10" s="1"/>
  <c r="T24" i="11"/>
  <c r="M357" i="11"/>
  <c r="P357" i="11" s="1"/>
  <c r="P24" i="11"/>
  <c r="L267" i="12"/>
  <c r="O267" i="12" s="1"/>
  <c r="P269" i="12"/>
  <c r="M267" i="12"/>
  <c r="P267" i="12" s="1"/>
  <c r="P190" i="12"/>
  <c r="O190" i="12"/>
  <c r="P176" i="12"/>
  <c r="Q73" i="11"/>
  <c r="T73" i="11" s="1"/>
  <c r="R729" i="12"/>
  <c r="U729" i="12" s="1"/>
  <c r="T97" i="12"/>
  <c r="Q95" i="12"/>
  <c r="T95" i="12" s="1"/>
  <c r="O336" i="12"/>
  <c r="L334" i="12"/>
  <c r="O334" i="12" s="1"/>
  <c r="Q267" i="12"/>
  <c r="T267" i="12" s="1"/>
  <c r="P174" i="12"/>
  <c r="T20" i="12"/>
  <c r="Q174" i="12"/>
  <c r="T174" i="12" s="1"/>
  <c r="T176" i="12"/>
  <c r="K84" i="12"/>
  <c r="I72" i="12"/>
  <c r="K72" i="12" s="1"/>
  <c r="L45" i="12"/>
  <c r="O47" i="12"/>
  <c r="Q174" i="11"/>
  <c r="T174" i="11" s="1"/>
  <c r="M60" i="12"/>
  <c r="P60" i="12" s="1"/>
  <c r="Q761" i="12"/>
  <c r="T761" i="12" s="1"/>
  <c r="T763" i="12"/>
  <c r="R761" i="12"/>
  <c r="U761" i="12" s="1"/>
  <c r="U763" i="12"/>
  <c r="R617" i="12"/>
  <c r="U617" i="12" s="1"/>
  <c r="U619" i="12"/>
  <c r="P516" i="12"/>
  <c r="M514" i="12"/>
  <c r="P514" i="12" s="1"/>
  <c r="U645" i="12"/>
  <c r="R643" i="12"/>
  <c r="U643" i="12" s="1"/>
  <c r="P323" i="12"/>
  <c r="M321" i="12"/>
  <c r="P321" i="12" s="1"/>
  <c r="M304" i="12"/>
  <c r="P304" i="12" s="1"/>
  <c r="K333" i="12"/>
  <c r="O174" i="12"/>
  <c r="P143" i="12"/>
  <c r="O143" i="12"/>
  <c r="R691" i="12"/>
  <c r="U691" i="12" s="1"/>
  <c r="U693" i="12"/>
  <c r="U378" i="12"/>
  <c r="R376" i="12"/>
  <c r="U376" i="12" s="1"/>
  <c r="R494" i="12"/>
  <c r="U494" i="12" s="1"/>
  <c r="L357" i="12"/>
  <c r="O357" i="12" s="1"/>
  <c r="O359" i="12"/>
  <c r="P336" i="12"/>
  <c r="M334" i="12"/>
  <c r="P334" i="12" s="1"/>
  <c r="U620" i="12"/>
  <c r="T142" i="12"/>
  <c r="Q140" i="12"/>
  <c r="T140" i="12" s="1"/>
  <c r="P24" i="12"/>
  <c r="M21" i="12"/>
  <c r="Q729" i="12"/>
  <c r="T729" i="12" s="1"/>
  <c r="T731" i="12"/>
  <c r="T645" i="12"/>
  <c r="Q643" i="12"/>
  <c r="T643" i="12" s="1"/>
  <c r="U269" i="12"/>
  <c r="T121" i="12"/>
  <c r="S118" i="12"/>
  <c r="U120" i="12"/>
  <c r="Q187" i="12"/>
  <c r="T187" i="12" s="1"/>
  <c r="L304" i="12"/>
  <c r="O304" i="12" s="1"/>
  <c r="I71" i="12"/>
  <c r="K71" i="12" s="1"/>
  <c r="K83" i="12"/>
  <c r="L60" i="12"/>
  <c r="O60" i="12" s="1"/>
  <c r="M22" i="12"/>
  <c r="L21" i="12"/>
  <c r="O27" i="12"/>
  <c r="L25" i="12"/>
  <c r="O25" i="12" s="1"/>
  <c r="P176" i="10"/>
  <c r="U269" i="11"/>
  <c r="M283" i="11"/>
  <c r="P283" i="11" s="1"/>
  <c r="U21" i="10"/>
  <c r="S376" i="11"/>
  <c r="T376" i="11" s="1"/>
  <c r="Q304" i="11"/>
  <c r="T304" i="11" s="1"/>
  <c r="P47" i="11"/>
  <c r="U118" i="11"/>
  <c r="P189" i="10"/>
  <c r="T269" i="11"/>
  <c r="P306" i="9"/>
  <c r="L514" i="8"/>
  <c r="O514" i="8" s="1"/>
  <c r="O359" i="9"/>
  <c r="U731" i="9"/>
  <c r="P336" i="10"/>
  <c r="L357" i="11"/>
  <c r="O357" i="11" s="1"/>
  <c r="U306" i="11"/>
  <c r="O336" i="11"/>
  <c r="I413" i="11"/>
  <c r="K413" i="11" s="1"/>
  <c r="K424" i="11"/>
  <c r="I72" i="11"/>
  <c r="K72" i="11" s="1"/>
  <c r="K84" i="11"/>
  <c r="O142" i="10"/>
  <c r="L140" i="10"/>
  <c r="O140" i="10" s="1"/>
  <c r="M73" i="11"/>
  <c r="P73" i="11" s="1"/>
  <c r="P75" i="11"/>
  <c r="K83" i="6"/>
  <c r="U619" i="8"/>
  <c r="P140" i="9"/>
  <c r="Q691" i="11"/>
  <c r="T691" i="11" s="1"/>
  <c r="O334" i="11"/>
  <c r="U763" i="11"/>
  <c r="Q304" i="10"/>
  <c r="T304" i="10" s="1"/>
  <c r="Q494" i="7"/>
  <c r="T494" i="7" s="1"/>
  <c r="U378" i="8"/>
  <c r="P359" i="9"/>
  <c r="L334" i="10"/>
  <c r="O334" i="10" s="1"/>
  <c r="L304" i="10"/>
  <c r="O304" i="10" s="1"/>
  <c r="U267" i="10"/>
  <c r="U764" i="10"/>
  <c r="T269" i="10"/>
  <c r="L187" i="11"/>
  <c r="O187" i="11" s="1"/>
  <c r="R140" i="11"/>
  <c r="U140" i="11" s="1"/>
  <c r="U142" i="11"/>
  <c r="P360" i="6"/>
  <c r="U142" i="6"/>
  <c r="M304" i="8"/>
  <c r="P304" i="8" s="1"/>
  <c r="O334" i="9"/>
  <c r="P47" i="9"/>
  <c r="O357" i="10"/>
  <c r="P359" i="10"/>
  <c r="P187" i="10"/>
  <c r="M187" i="11"/>
  <c r="P187" i="11" s="1"/>
  <c r="M174" i="11"/>
  <c r="P174" i="11" s="1"/>
  <c r="S22" i="11"/>
  <c r="T22" i="11" s="1"/>
  <c r="P22" i="11"/>
  <c r="M304" i="11"/>
  <c r="P304" i="11" s="1"/>
  <c r="P306" i="11"/>
  <c r="O323" i="11"/>
  <c r="L321" i="11"/>
  <c r="O321" i="11" s="1"/>
  <c r="K83" i="11"/>
  <c r="I71" i="11"/>
  <c r="K71" i="11" s="1"/>
  <c r="Q414" i="9"/>
  <c r="T414" i="9" s="1"/>
  <c r="L95" i="9"/>
  <c r="O95" i="9" s="1"/>
  <c r="L21" i="10"/>
  <c r="L19" i="10" s="1"/>
  <c r="P45" i="10"/>
  <c r="R376" i="2"/>
  <c r="U376" i="2" s="1"/>
  <c r="K254" i="11"/>
  <c r="I232" i="11"/>
  <c r="R187" i="11"/>
  <c r="U187" i="11" s="1"/>
  <c r="U189" i="11"/>
  <c r="P62" i="11"/>
  <c r="T187" i="11"/>
  <c r="O47" i="11"/>
  <c r="P516" i="11"/>
  <c r="M514" i="11"/>
  <c r="P514" i="11" s="1"/>
  <c r="P336" i="11"/>
  <c r="M334" i="11"/>
  <c r="P334" i="11" s="1"/>
  <c r="L174" i="11"/>
  <c r="O174" i="11" s="1"/>
  <c r="O176" i="11"/>
  <c r="U75" i="11"/>
  <c r="R73" i="11"/>
  <c r="U73" i="11" s="1"/>
  <c r="O60" i="11"/>
  <c r="T763" i="9"/>
  <c r="P142" i="9"/>
  <c r="I71" i="10"/>
  <c r="K71" i="10" s="1"/>
  <c r="O359" i="10"/>
  <c r="R22" i="11"/>
  <c r="U24" i="11"/>
  <c r="R21" i="11"/>
  <c r="U267" i="11"/>
  <c r="N41" i="11"/>
  <c r="O306" i="11"/>
  <c r="L304" i="11"/>
  <c r="O304" i="11" s="1"/>
  <c r="P27" i="11"/>
  <c r="M25" i="11"/>
  <c r="P25" i="11" s="1"/>
  <c r="O62" i="11"/>
  <c r="U190" i="11"/>
  <c r="R617" i="11"/>
  <c r="U617" i="11" s="1"/>
  <c r="Q414" i="11"/>
  <c r="T414" i="11" s="1"/>
  <c r="T416" i="11"/>
  <c r="R158" i="11"/>
  <c r="U158" i="11" s="1"/>
  <c r="L22" i="11"/>
  <c r="O22" i="11" s="1"/>
  <c r="O24" i="11"/>
  <c r="L21" i="11"/>
  <c r="N21" i="11"/>
  <c r="N19" i="11" s="1"/>
  <c r="P45" i="11"/>
  <c r="K333" i="10"/>
  <c r="Q643" i="11"/>
  <c r="T643" i="11" s="1"/>
  <c r="L158" i="11"/>
  <c r="O158" i="11" s="1"/>
  <c r="M321" i="11"/>
  <c r="P321" i="11" s="1"/>
  <c r="O48" i="11"/>
  <c r="R494" i="10"/>
  <c r="U494" i="10" s="1"/>
  <c r="T619" i="11"/>
  <c r="Q617" i="11"/>
  <c r="T617" i="11" s="1"/>
  <c r="R414" i="11"/>
  <c r="U414" i="11" s="1"/>
  <c r="U307" i="11"/>
  <c r="O45" i="11"/>
  <c r="Q174" i="6"/>
  <c r="T174" i="6" s="1"/>
  <c r="U187" i="7"/>
  <c r="Q158" i="9"/>
  <c r="T158" i="9" s="1"/>
  <c r="Q729" i="10"/>
  <c r="T729" i="10" s="1"/>
  <c r="P267" i="7"/>
  <c r="T306" i="8"/>
  <c r="Q118" i="9"/>
  <c r="T118" i="9" s="1"/>
  <c r="M60" i="10"/>
  <c r="P60" i="10" s="1"/>
  <c r="P47" i="6"/>
  <c r="K702" i="9"/>
  <c r="Q22" i="9"/>
  <c r="M158" i="10"/>
  <c r="P158" i="10" s="1"/>
  <c r="O75" i="9"/>
  <c r="T378" i="3"/>
  <c r="K375" i="5"/>
  <c r="Q174" i="10"/>
  <c r="T174" i="10" s="1"/>
  <c r="T763" i="8"/>
  <c r="T75" i="10"/>
  <c r="Q73" i="10"/>
  <c r="T73" i="10" s="1"/>
  <c r="U306" i="1"/>
  <c r="U306" i="8"/>
  <c r="I72" i="8"/>
  <c r="K72" i="8" s="1"/>
  <c r="T620" i="9"/>
  <c r="O190" i="9"/>
  <c r="O47" i="9"/>
  <c r="N22" i="10"/>
  <c r="O22" i="10" s="1"/>
  <c r="N21" i="10"/>
  <c r="N19" i="10" s="1"/>
  <c r="K702" i="3"/>
  <c r="L304" i="7"/>
  <c r="O304" i="7" s="1"/>
  <c r="M304" i="7"/>
  <c r="P304" i="7" s="1"/>
  <c r="P22" i="8"/>
  <c r="L73" i="9"/>
  <c r="O73" i="9" s="1"/>
  <c r="R174" i="10"/>
  <c r="U174" i="10" s="1"/>
  <c r="U118" i="10"/>
  <c r="K702" i="4"/>
  <c r="T620" i="1"/>
  <c r="T98" i="6"/>
  <c r="O189" i="8"/>
  <c r="R140" i="9"/>
  <c r="U140" i="9" s="1"/>
  <c r="T306" i="9"/>
  <c r="L158" i="10"/>
  <c r="O158" i="10" s="1"/>
  <c r="P47" i="10"/>
  <c r="P306" i="10"/>
  <c r="M304" i="10"/>
  <c r="P304" i="10" s="1"/>
  <c r="U97" i="10"/>
  <c r="R95" i="10"/>
  <c r="U95" i="10" s="1"/>
  <c r="Q643" i="3"/>
  <c r="T643" i="3" s="1"/>
  <c r="Q643" i="9"/>
  <c r="T643" i="9" s="1"/>
  <c r="R118" i="9"/>
  <c r="U118" i="9" s="1"/>
  <c r="M187" i="9"/>
  <c r="P187" i="9" s="1"/>
  <c r="M158" i="9"/>
  <c r="P158" i="9" s="1"/>
  <c r="Q140" i="9"/>
  <c r="T140" i="9" s="1"/>
  <c r="Q643" i="10"/>
  <c r="T643" i="10" s="1"/>
  <c r="M334" i="10"/>
  <c r="P334" i="10" s="1"/>
  <c r="O24" i="10"/>
  <c r="O27" i="10"/>
  <c r="L25" i="10"/>
  <c r="O25" i="10" s="1"/>
  <c r="P97" i="10"/>
  <c r="M95" i="10"/>
  <c r="P95" i="10" s="1"/>
  <c r="R643" i="8"/>
  <c r="U643" i="8" s="1"/>
  <c r="U95" i="8"/>
  <c r="R643" i="10"/>
  <c r="U643" i="10" s="1"/>
  <c r="U645" i="10"/>
  <c r="Q414" i="10"/>
  <c r="T414" i="10" s="1"/>
  <c r="M357" i="10"/>
  <c r="P357" i="10" s="1"/>
  <c r="U142" i="10"/>
  <c r="R140" i="10"/>
  <c r="U140" i="10" s="1"/>
  <c r="I232" i="10"/>
  <c r="K243" i="10"/>
  <c r="Q617" i="10"/>
  <c r="T617" i="10" s="1"/>
  <c r="Q95" i="10"/>
  <c r="T95" i="10" s="1"/>
  <c r="T97" i="10"/>
  <c r="Q118" i="10"/>
  <c r="T118" i="10" s="1"/>
  <c r="T120" i="10"/>
  <c r="M25" i="10"/>
  <c r="P25" i="10" s="1"/>
  <c r="K424" i="10"/>
  <c r="I413" i="10"/>
  <c r="K413" i="10" s="1"/>
  <c r="N267" i="10"/>
  <c r="P267" i="10" s="1"/>
  <c r="P269" i="10"/>
  <c r="L60" i="10"/>
  <c r="O60" i="10" s="1"/>
  <c r="O62" i="10"/>
  <c r="Q140" i="10"/>
  <c r="T140" i="10" s="1"/>
  <c r="O269" i="10"/>
  <c r="L267" i="10"/>
  <c r="O267" i="10" s="1"/>
  <c r="O97" i="10"/>
  <c r="L95" i="10"/>
  <c r="O95" i="10" s="1"/>
  <c r="L233" i="10"/>
  <c r="R158" i="10"/>
  <c r="U158" i="10" s="1"/>
  <c r="P323" i="10"/>
  <c r="M321" i="10"/>
  <c r="P321" i="10" s="1"/>
  <c r="L45" i="10"/>
  <c r="O47" i="10"/>
  <c r="M21" i="10"/>
  <c r="P24" i="10"/>
  <c r="S22" i="10"/>
  <c r="L118" i="9"/>
  <c r="O118" i="9" s="1"/>
  <c r="T95" i="9"/>
  <c r="Q761" i="10"/>
  <c r="T761" i="10" s="1"/>
  <c r="T763" i="10"/>
  <c r="U617" i="10"/>
  <c r="R729" i="10"/>
  <c r="U729" i="10" s="1"/>
  <c r="L174" i="10"/>
  <c r="O174" i="10" s="1"/>
  <c r="M73" i="10"/>
  <c r="P75" i="10"/>
  <c r="L321" i="10"/>
  <c r="O321" i="10" s="1"/>
  <c r="O323" i="10"/>
  <c r="U306" i="10"/>
  <c r="R304" i="10"/>
  <c r="U304" i="10" s="1"/>
  <c r="K84" i="10"/>
  <c r="I72" i="10"/>
  <c r="K72" i="10" s="1"/>
  <c r="Q22" i="10"/>
  <c r="Q21" i="10"/>
  <c r="T24" i="10"/>
  <c r="M22" i="10"/>
  <c r="S19" i="10"/>
  <c r="U19" i="10" s="1"/>
  <c r="U24" i="10"/>
  <c r="Q187" i="8"/>
  <c r="T187" i="8" s="1"/>
  <c r="L158" i="9"/>
  <c r="O158" i="9" s="1"/>
  <c r="L25" i="9"/>
  <c r="O25" i="9" s="1"/>
  <c r="L60" i="9"/>
  <c r="O60" i="9" s="1"/>
  <c r="R691" i="10"/>
  <c r="U691" i="10" s="1"/>
  <c r="U693" i="10"/>
  <c r="O516" i="10"/>
  <c r="L514" i="10"/>
  <c r="O514" i="10" s="1"/>
  <c r="M514" i="10"/>
  <c r="P514" i="10" s="1"/>
  <c r="R376" i="10"/>
  <c r="U376" i="10" s="1"/>
  <c r="U378" i="10"/>
  <c r="O120" i="10"/>
  <c r="L118" i="10"/>
  <c r="O118" i="10" s="1"/>
  <c r="R187" i="10"/>
  <c r="U187" i="10" s="1"/>
  <c r="O20" i="10"/>
  <c r="T304" i="5"/>
  <c r="U763" i="8"/>
  <c r="L25" i="8"/>
  <c r="O25" i="8" s="1"/>
  <c r="T98" i="8"/>
  <c r="U190" i="8"/>
  <c r="M118" i="8"/>
  <c r="P118" i="8" s="1"/>
  <c r="R414" i="9"/>
  <c r="U414" i="9" s="1"/>
  <c r="M321" i="9"/>
  <c r="P321" i="9" s="1"/>
  <c r="O357" i="6"/>
  <c r="M357" i="9"/>
  <c r="P357" i="9" s="1"/>
  <c r="M95" i="9"/>
  <c r="P95" i="9" s="1"/>
  <c r="U763" i="9"/>
  <c r="O307" i="9"/>
  <c r="L357" i="9"/>
  <c r="O357" i="9" s="1"/>
  <c r="P269" i="9"/>
  <c r="M267" i="9"/>
  <c r="P267" i="9" s="1"/>
  <c r="T176" i="7"/>
  <c r="T304" i="8"/>
  <c r="Q494" i="9"/>
  <c r="T494" i="9" s="1"/>
  <c r="U190" i="9"/>
  <c r="R174" i="9"/>
  <c r="U174" i="9" s="1"/>
  <c r="R187" i="9"/>
  <c r="U187" i="9" s="1"/>
  <c r="U189" i="9"/>
  <c r="M118" i="9"/>
  <c r="P118" i="9" s="1"/>
  <c r="M95" i="5"/>
  <c r="P95" i="5" s="1"/>
  <c r="P62" i="6"/>
  <c r="O174" i="8"/>
  <c r="Q494" i="8"/>
  <c r="T494" i="8" s="1"/>
  <c r="T732" i="9"/>
  <c r="O142" i="9"/>
  <c r="L140" i="9"/>
  <c r="O140" i="9" s="1"/>
  <c r="O306" i="9"/>
  <c r="L304" i="9"/>
  <c r="O304" i="9" s="1"/>
  <c r="L73" i="5"/>
  <c r="O73" i="5" s="1"/>
  <c r="U95" i="6"/>
  <c r="T620" i="7"/>
  <c r="T729" i="7"/>
  <c r="P359" i="8"/>
  <c r="O187" i="8"/>
  <c r="O189" i="9"/>
  <c r="L187" i="9"/>
  <c r="O187" i="9" s="1"/>
  <c r="R174" i="3"/>
  <c r="U174" i="3" s="1"/>
  <c r="U620" i="7"/>
  <c r="M357" i="8"/>
  <c r="P357" i="8" s="1"/>
  <c r="P174" i="7"/>
  <c r="O336" i="9"/>
  <c r="R22" i="9"/>
  <c r="O269" i="9"/>
  <c r="L267" i="9"/>
  <c r="O267" i="9" s="1"/>
  <c r="P285" i="9"/>
  <c r="M283" i="9"/>
  <c r="P283" i="9" s="1"/>
  <c r="P62" i="5"/>
  <c r="N41" i="9"/>
  <c r="U306" i="9"/>
  <c r="R304" i="9"/>
  <c r="U304" i="9" s="1"/>
  <c r="T189" i="9"/>
  <c r="Q187" i="9"/>
  <c r="T187" i="9" s="1"/>
  <c r="R617" i="9"/>
  <c r="U617" i="9" s="1"/>
  <c r="U619" i="9"/>
  <c r="O244" i="9"/>
  <c r="L233" i="9"/>
  <c r="O20" i="9"/>
  <c r="O24" i="9"/>
  <c r="L21" i="9"/>
  <c r="P161" i="1"/>
  <c r="R174" i="5"/>
  <c r="U174" i="5" s="1"/>
  <c r="T269" i="6"/>
  <c r="U269" i="6"/>
  <c r="T267" i="6"/>
  <c r="O357" i="7"/>
  <c r="P269" i="7"/>
  <c r="U98" i="6"/>
  <c r="T731" i="8"/>
  <c r="T97" i="8"/>
  <c r="K243" i="9"/>
  <c r="I232" i="9"/>
  <c r="L321" i="9"/>
  <c r="O321" i="9" s="1"/>
  <c r="O323" i="9"/>
  <c r="P24" i="9"/>
  <c r="M22" i="9"/>
  <c r="M21" i="9"/>
  <c r="S22" i="9"/>
  <c r="S21" i="9"/>
  <c r="M25" i="9"/>
  <c r="P25" i="9" s="1"/>
  <c r="P27" i="9"/>
  <c r="L22" i="9"/>
  <c r="U24" i="9"/>
  <c r="J493" i="3"/>
  <c r="K493" i="3" s="1"/>
  <c r="T120" i="4"/>
  <c r="O176" i="7"/>
  <c r="U189" i="8"/>
  <c r="O176" i="8"/>
  <c r="S22" i="8"/>
  <c r="U22" i="8" s="1"/>
  <c r="R691" i="9"/>
  <c r="U691" i="9" s="1"/>
  <c r="M73" i="9"/>
  <c r="P73" i="9" s="1"/>
  <c r="I71" i="9"/>
  <c r="K71" i="9" s="1"/>
  <c r="K83" i="9"/>
  <c r="U75" i="9"/>
  <c r="T75" i="9"/>
  <c r="N21" i="9"/>
  <c r="N19" i="9" s="1"/>
  <c r="N22" i="9"/>
  <c r="U97" i="8"/>
  <c r="O516" i="9"/>
  <c r="L514" i="9"/>
  <c r="O514" i="9" s="1"/>
  <c r="M514" i="9"/>
  <c r="P514" i="9" s="1"/>
  <c r="P516" i="9"/>
  <c r="O160" i="2"/>
  <c r="T306" i="3"/>
  <c r="P187" i="5"/>
  <c r="U120" i="4"/>
  <c r="T306" i="6"/>
  <c r="R73" i="6"/>
  <c r="U73" i="6" s="1"/>
  <c r="P142" i="6"/>
  <c r="L304" i="8"/>
  <c r="O304" i="8" s="1"/>
  <c r="M158" i="8"/>
  <c r="P158" i="8" s="1"/>
  <c r="K424" i="9"/>
  <c r="I413" i="9"/>
  <c r="K413" i="9" s="1"/>
  <c r="R643" i="9"/>
  <c r="U643" i="9" s="1"/>
  <c r="K84" i="9"/>
  <c r="I72" i="9"/>
  <c r="K72" i="9" s="1"/>
  <c r="O45" i="9"/>
  <c r="M334" i="9"/>
  <c r="P334" i="9" s="1"/>
  <c r="P336" i="9"/>
  <c r="T73" i="9"/>
  <c r="L140" i="6"/>
  <c r="O140" i="6" s="1"/>
  <c r="M60" i="9"/>
  <c r="P60" i="9" s="1"/>
  <c r="R376" i="9"/>
  <c r="U376" i="9" s="1"/>
  <c r="U378" i="9"/>
  <c r="M140" i="7"/>
  <c r="P140" i="7" s="1"/>
  <c r="Q691" i="8"/>
  <c r="T691" i="8" s="1"/>
  <c r="U304" i="8"/>
  <c r="T378" i="8"/>
  <c r="Q73" i="8"/>
  <c r="T73" i="8" s="1"/>
  <c r="Q691" i="9"/>
  <c r="T691" i="9" s="1"/>
  <c r="T693" i="9"/>
  <c r="Q617" i="9"/>
  <c r="T617" i="9" s="1"/>
  <c r="T619" i="9"/>
  <c r="Q761" i="9"/>
  <c r="T761" i="9" s="1"/>
  <c r="U73" i="9"/>
  <c r="P45" i="9"/>
  <c r="T76" i="9"/>
  <c r="Q691" i="5"/>
  <c r="T691" i="5" s="1"/>
  <c r="Q376" i="8"/>
  <c r="T376" i="8" s="1"/>
  <c r="T379" i="8"/>
  <c r="R691" i="8"/>
  <c r="U691" i="8" s="1"/>
  <c r="T120" i="8"/>
  <c r="R73" i="8"/>
  <c r="U73" i="8" s="1"/>
  <c r="U75" i="8"/>
  <c r="P334" i="7"/>
  <c r="R73" i="7"/>
  <c r="U73" i="7" s="1"/>
  <c r="U267" i="7"/>
  <c r="U120" i="8"/>
  <c r="M95" i="8"/>
  <c r="P95" i="8" s="1"/>
  <c r="P97" i="8"/>
  <c r="O75" i="8"/>
  <c r="L73" i="8"/>
  <c r="O73" i="8" s="1"/>
  <c r="L25" i="5"/>
  <c r="O25" i="5" s="1"/>
  <c r="Q158" i="6"/>
  <c r="T158" i="6" s="1"/>
  <c r="O187" i="7"/>
  <c r="U120" i="7"/>
  <c r="U304" i="5"/>
  <c r="U189" i="7"/>
  <c r="U646" i="7"/>
  <c r="T306" i="7"/>
  <c r="I232" i="8"/>
  <c r="K232" i="8" s="1"/>
  <c r="M174" i="8"/>
  <c r="P174" i="8" s="1"/>
  <c r="P269" i="8"/>
  <c r="M267" i="8"/>
  <c r="P267" i="8" s="1"/>
  <c r="O97" i="8"/>
  <c r="L95" i="8"/>
  <c r="O95" i="8" s="1"/>
  <c r="U732" i="8"/>
  <c r="P62" i="8"/>
  <c r="T267" i="7"/>
  <c r="T269" i="7"/>
  <c r="P60" i="8"/>
  <c r="L73" i="7"/>
  <c r="O73" i="7" s="1"/>
  <c r="T729" i="8"/>
  <c r="N41" i="8"/>
  <c r="M304" i="6"/>
  <c r="P304" i="6" s="1"/>
  <c r="O189" i="6"/>
  <c r="P187" i="7"/>
  <c r="U496" i="7"/>
  <c r="R118" i="8"/>
  <c r="U118" i="8" s="1"/>
  <c r="U496" i="8"/>
  <c r="R494" i="8"/>
  <c r="U494" i="8" s="1"/>
  <c r="Q140" i="8"/>
  <c r="T140" i="8" s="1"/>
  <c r="P160" i="7"/>
  <c r="M158" i="7"/>
  <c r="P158" i="7" s="1"/>
  <c r="T118" i="8"/>
  <c r="P189" i="8"/>
  <c r="M187" i="8"/>
  <c r="P187" i="8" s="1"/>
  <c r="L267" i="7"/>
  <c r="O267" i="7" s="1"/>
  <c r="R729" i="8"/>
  <c r="U729" i="8" s="1"/>
  <c r="U731" i="8"/>
  <c r="P323" i="8"/>
  <c r="M321" i="8"/>
  <c r="P321" i="8" s="1"/>
  <c r="I71" i="8"/>
  <c r="K71" i="8" s="1"/>
  <c r="K83" i="8"/>
  <c r="P20" i="8"/>
  <c r="L158" i="8"/>
  <c r="O158" i="8" s="1"/>
  <c r="M21" i="8"/>
  <c r="M19" i="8" s="1"/>
  <c r="P24" i="8"/>
  <c r="U620" i="5"/>
  <c r="P24" i="7"/>
  <c r="U142" i="8"/>
  <c r="R140" i="8"/>
  <c r="U140" i="8" s="1"/>
  <c r="O62" i="8"/>
  <c r="L60" i="8"/>
  <c r="O60" i="8" s="1"/>
  <c r="L357" i="8"/>
  <c r="O357" i="8" s="1"/>
  <c r="O359" i="8"/>
  <c r="L118" i="8"/>
  <c r="O118" i="8" s="1"/>
  <c r="N21" i="8"/>
  <c r="N19" i="8" s="1"/>
  <c r="N25" i="8"/>
  <c r="M25" i="8"/>
  <c r="P25" i="8" s="1"/>
  <c r="L233" i="5"/>
  <c r="U270" i="7"/>
  <c r="Q617" i="8"/>
  <c r="T617" i="8" s="1"/>
  <c r="T619" i="8"/>
  <c r="T270" i="8"/>
  <c r="R21" i="8"/>
  <c r="U24" i="8"/>
  <c r="L321" i="8"/>
  <c r="O321" i="8" s="1"/>
  <c r="O323" i="8"/>
  <c r="L267" i="8"/>
  <c r="O267" i="8" s="1"/>
  <c r="O269" i="8"/>
  <c r="O24" i="8"/>
  <c r="L21" i="8"/>
  <c r="L19" i="8" s="1"/>
  <c r="K84" i="7"/>
  <c r="M140" i="8"/>
  <c r="P140" i="8" s="1"/>
  <c r="P142" i="8"/>
  <c r="R158" i="8"/>
  <c r="U158" i="8" s="1"/>
  <c r="R174" i="8"/>
  <c r="U174" i="8" s="1"/>
  <c r="Q21" i="8"/>
  <c r="Q22" i="8"/>
  <c r="T24" i="8"/>
  <c r="M514" i="8"/>
  <c r="P514" i="8" s="1"/>
  <c r="P516" i="8"/>
  <c r="M334" i="8"/>
  <c r="P334" i="8" s="1"/>
  <c r="P336" i="8"/>
  <c r="L45" i="8"/>
  <c r="O47" i="8"/>
  <c r="L22" i="8"/>
  <c r="O22" i="8" s="1"/>
  <c r="T416" i="8"/>
  <c r="Q414" i="8"/>
  <c r="T414" i="8" s="1"/>
  <c r="O244" i="8"/>
  <c r="L233" i="8"/>
  <c r="M283" i="8"/>
  <c r="P283" i="8" s="1"/>
  <c r="P285" i="8"/>
  <c r="O20" i="8"/>
  <c r="L334" i="8"/>
  <c r="O334" i="8" s="1"/>
  <c r="O336" i="8"/>
  <c r="Q643" i="4"/>
  <c r="T643" i="4" s="1"/>
  <c r="U306" i="5"/>
  <c r="T306" i="5"/>
  <c r="P190" i="5"/>
  <c r="T729" i="6"/>
  <c r="R617" i="8"/>
  <c r="U617" i="8" s="1"/>
  <c r="U764" i="8"/>
  <c r="U270" i="8"/>
  <c r="M45" i="8"/>
  <c r="Q643" i="8"/>
  <c r="T643" i="8" s="1"/>
  <c r="S19" i="8"/>
  <c r="P323" i="4"/>
  <c r="K375" i="4"/>
  <c r="P47" i="5"/>
  <c r="T269" i="5"/>
  <c r="T304" i="3"/>
  <c r="Q187" i="6"/>
  <c r="T187" i="6" s="1"/>
  <c r="U620" i="6"/>
  <c r="M118" i="6"/>
  <c r="P118" i="6" s="1"/>
  <c r="P177" i="7"/>
  <c r="U269" i="7"/>
  <c r="O359" i="6"/>
  <c r="U378" i="6"/>
  <c r="P270" i="6"/>
  <c r="T763" i="7"/>
  <c r="Q691" i="7"/>
  <c r="T691" i="7" s="1"/>
  <c r="Q187" i="7"/>
  <c r="T187" i="7" s="1"/>
  <c r="U306" i="7"/>
  <c r="N22" i="7"/>
  <c r="O22" i="7" s="1"/>
  <c r="N21" i="7"/>
  <c r="N19" i="7" s="1"/>
  <c r="L158" i="7"/>
  <c r="O158" i="7" s="1"/>
  <c r="S304" i="7"/>
  <c r="U304" i="7" s="1"/>
  <c r="L321" i="5"/>
  <c r="O321" i="5" s="1"/>
  <c r="O160" i="5"/>
  <c r="Q691" i="6"/>
  <c r="T691" i="6" s="1"/>
  <c r="T764" i="7"/>
  <c r="U267" i="3"/>
  <c r="P189" i="5"/>
  <c r="P120" i="7"/>
  <c r="M118" i="7"/>
  <c r="P118" i="7" s="1"/>
  <c r="T97" i="3"/>
  <c r="O143" i="5"/>
  <c r="Q617" i="6"/>
  <c r="T617" i="6" s="1"/>
  <c r="L233" i="7"/>
  <c r="S22" i="7"/>
  <c r="M95" i="7"/>
  <c r="P95" i="7" s="1"/>
  <c r="P97" i="7"/>
  <c r="U416" i="4"/>
  <c r="O177" i="5"/>
  <c r="O142" i="5"/>
  <c r="T120" i="6"/>
  <c r="R729" i="7"/>
  <c r="U729" i="7" s="1"/>
  <c r="M514" i="7"/>
  <c r="P514" i="7" s="1"/>
  <c r="M283" i="7"/>
  <c r="P283" i="7" s="1"/>
  <c r="L95" i="5"/>
  <c r="O95" i="5" s="1"/>
  <c r="U764" i="7"/>
  <c r="O177" i="7"/>
  <c r="O142" i="7"/>
  <c r="L140" i="7"/>
  <c r="O140" i="7" s="1"/>
  <c r="U306" i="3"/>
  <c r="M158" i="5"/>
  <c r="P158" i="5" s="1"/>
  <c r="N60" i="5"/>
  <c r="P60" i="5" s="1"/>
  <c r="M45" i="6"/>
  <c r="P45" i="6" s="1"/>
  <c r="T121" i="6"/>
  <c r="L25" i="7"/>
  <c r="O25" i="7" s="1"/>
  <c r="U693" i="7"/>
  <c r="R691" i="7"/>
  <c r="U691" i="7" s="1"/>
  <c r="M514" i="5"/>
  <c r="P514" i="5" s="1"/>
  <c r="T24" i="5"/>
  <c r="P174" i="6"/>
  <c r="P22" i="7"/>
  <c r="O120" i="7"/>
  <c r="L118" i="7"/>
  <c r="O118" i="7" s="1"/>
  <c r="L73" i="2"/>
  <c r="O73" i="2" s="1"/>
  <c r="T269" i="3"/>
  <c r="S22" i="5"/>
  <c r="Q643" i="5"/>
  <c r="T643" i="5" s="1"/>
  <c r="U120" i="5"/>
  <c r="T270" i="6"/>
  <c r="R73" i="5"/>
  <c r="U73" i="5" s="1"/>
  <c r="O190" i="6"/>
  <c r="Q376" i="7"/>
  <c r="T376" i="7" s="1"/>
  <c r="T378" i="7"/>
  <c r="L283" i="7"/>
  <c r="O283" i="7" s="1"/>
  <c r="S761" i="7"/>
  <c r="U761" i="7" s="1"/>
  <c r="R414" i="7"/>
  <c r="U414" i="7" s="1"/>
  <c r="K243" i="7"/>
  <c r="I232" i="7"/>
  <c r="T619" i="7"/>
  <c r="Q617" i="7"/>
  <c r="T617" i="7" s="1"/>
  <c r="O189" i="7"/>
  <c r="Q21" i="7"/>
  <c r="Q22" i="7"/>
  <c r="T24" i="7"/>
  <c r="S19" i="7"/>
  <c r="P47" i="7"/>
  <c r="M45" i="7"/>
  <c r="U20" i="7"/>
  <c r="L45" i="7"/>
  <c r="O47" i="7"/>
  <c r="O336" i="7"/>
  <c r="L334" i="7"/>
  <c r="O334" i="7" s="1"/>
  <c r="P357" i="7"/>
  <c r="O97" i="7"/>
  <c r="L95" i="7"/>
  <c r="O95" i="7" s="1"/>
  <c r="Q158" i="7"/>
  <c r="T158" i="7" s="1"/>
  <c r="T160" i="7"/>
  <c r="R21" i="7"/>
  <c r="U21" i="7" s="1"/>
  <c r="U24" i="7"/>
  <c r="R22" i="7"/>
  <c r="I71" i="7"/>
  <c r="K71" i="7" s="1"/>
  <c r="K83" i="7"/>
  <c r="P359" i="7"/>
  <c r="O359" i="7"/>
  <c r="O20" i="7"/>
  <c r="O174" i="7"/>
  <c r="M321" i="7"/>
  <c r="P321" i="7" s="1"/>
  <c r="P323" i="7"/>
  <c r="M21" i="7"/>
  <c r="P27" i="7"/>
  <c r="O516" i="7"/>
  <c r="L514" i="7"/>
  <c r="O514" i="7" s="1"/>
  <c r="O323" i="7"/>
  <c r="L321" i="7"/>
  <c r="O321" i="7" s="1"/>
  <c r="P336" i="7"/>
  <c r="Q118" i="7"/>
  <c r="T118" i="7" s="1"/>
  <c r="T120" i="7"/>
  <c r="P62" i="7"/>
  <c r="M60" i="7"/>
  <c r="P60" i="7" s="1"/>
  <c r="L60" i="7"/>
  <c r="O60" i="7" s="1"/>
  <c r="O62" i="7"/>
  <c r="P189" i="7"/>
  <c r="L21" i="7"/>
  <c r="O24" i="7"/>
  <c r="M25" i="7"/>
  <c r="P25" i="7" s="1"/>
  <c r="N41" i="7"/>
  <c r="U645" i="7"/>
  <c r="S643" i="7"/>
  <c r="T643" i="7" s="1"/>
  <c r="T645" i="7"/>
  <c r="M25" i="5"/>
  <c r="P25" i="5" s="1"/>
  <c r="P357" i="5"/>
  <c r="T416" i="6"/>
  <c r="Q414" i="6"/>
  <c r="T414" i="6" s="1"/>
  <c r="R158" i="4"/>
  <c r="U158" i="4" s="1"/>
  <c r="R761" i="5"/>
  <c r="U761" i="5" s="1"/>
  <c r="U189" i="6"/>
  <c r="R187" i="6"/>
  <c r="U187" i="6" s="1"/>
  <c r="M25" i="2"/>
  <c r="P25" i="2" s="1"/>
  <c r="O189" i="5"/>
  <c r="T496" i="5"/>
  <c r="O176" i="6"/>
  <c r="I72" i="6"/>
  <c r="K72" i="6" s="1"/>
  <c r="L25" i="6"/>
  <c r="O25" i="6" s="1"/>
  <c r="M73" i="5"/>
  <c r="P73" i="5" s="1"/>
  <c r="P176" i="6"/>
  <c r="I71" i="5"/>
  <c r="K71" i="5" s="1"/>
  <c r="M283" i="6"/>
  <c r="P283" i="6" s="1"/>
  <c r="P285" i="6"/>
  <c r="L304" i="6"/>
  <c r="O304" i="6" s="1"/>
  <c r="T95" i="6"/>
  <c r="U694" i="5"/>
  <c r="K702" i="5"/>
  <c r="P142" i="5"/>
  <c r="L140" i="5"/>
  <c r="O140" i="5" s="1"/>
  <c r="T731" i="6"/>
  <c r="U120" i="6"/>
  <c r="M25" i="6"/>
  <c r="P25" i="6" s="1"/>
  <c r="U731" i="6"/>
  <c r="L95" i="6"/>
  <c r="O95" i="6" s="1"/>
  <c r="O97" i="6"/>
  <c r="N187" i="6"/>
  <c r="O187" i="6" s="1"/>
  <c r="T187" i="2"/>
  <c r="M158" i="4"/>
  <c r="P158" i="4" s="1"/>
  <c r="R118" i="4"/>
  <c r="U118" i="4" s="1"/>
  <c r="Q95" i="4"/>
  <c r="T95" i="4" s="1"/>
  <c r="R376" i="5"/>
  <c r="U376" i="5" s="1"/>
  <c r="U118" i="6"/>
  <c r="M321" i="6"/>
  <c r="P321" i="6" s="1"/>
  <c r="M158" i="6"/>
  <c r="P158" i="6" s="1"/>
  <c r="K375" i="6"/>
  <c r="S22" i="6"/>
  <c r="R729" i="6"/>
  <c r="U729" i="6" s="1"/>
  <c r="P97" i="6"/>
  <c r="M95" i="6"/>
  <c r="P95" i="6" s="1"/>
  <c r="L283" i="6"/>
  <c r="O283" i="6" s="1"/>
  <c r="O160" i="1"/>
  <c r="U121" i="3"/>
  <c r="R95" i="5"/>
  <c r="U95" i="5" s="1"/>
  <c r="L21" i="5"/>
  <c r="L19" i="5" s="1"/>
  <c r="Q494" i="6"/>
  <c r="T494" i="6" s="1"/>
  <c r="T118" i="6"/>
  <c r="N21" i="6"/>
  <c r="N19" i="6" s="1"/>
  <c r="O516" i="6"/>
  <c r="L514" i="6"/>
  <c r="O514" i="6" s="1"/>
  <c r="O269" i="6"/>
  <c r="L267" i="6"/>
  <c r="O267" i="6" s="1"/>
  <c r="M118" i="4"/>
  <c r="P118" i="4" s="1"/>
  <c r="T694" i="4"/>
  <c r="O160" i="4"/>
  <c r="L118" i="6"/>
  <c r="O118" i="6" s="1"/>
  <c r="U121" i="6"/>
  <c r="T75" i="6"/>
  <c r="Q73" i="6"/>
  <c r="T73" i="6" s="1"/>
  <c r="R140" i="2"/>
  <c r="U140" i="2" s="1"/>
  <c r="M283" i="3"/>
  <c r="P283" i="3" s="1"/>
  <c r="L73" i="4"/>
  <c r="O73" i="4" s="1"/>
  <c r="M118" i="5"/>
  <c r="P118" i="5" s="1"/>
  <c r="P176" i="5"/>
  <c r="R617" i="6"/>
  <c r="U617" i="6" s="1"/>
  <c r="M60" i="6"/>
  <c r="P60" i="6" s="1"/>
  <c r="O62" i="6"/>
  <c r="L60" i="6"/>
  <c r="O60" i="6" s="1"/>
  <c r="U306" i="2"/>
  <c r="Q691" i="4"/>
  <c r="T691" i="4" s="1"/>
  <c r="P176" i="4"/>
  <c r="O337" i="5"/>
  <c r="L22" i="5"/>
  <c r="O22" i="5" s="1"/>
  <c r="U416" i="6"/>
  <c r="R414" i="6"/>
  <c r="U414" i="6" s="1"/>
  <c r="L174" i="6"/>
  <c r="O174" i="6" s="1"/>
  <c r="M267" i="6"/>
  <c r="P267" i="6" s="1"/>
  <c r="P269" i="6"/>
  <c r="M73" i="6"/>
  <c r="P73" i="6" s="1"/>
  <c r="L21" i="6"/>
  <c r="O24" i="6"/>
  <c r="L22" i="6"/>
  <c r="O22" i="6" s="1"/>
  <c r="P334" i="4"/>
  <c r="M334" i="6"/>
  <c r="P334" i="6" s="1"/>
  <c r="P336" i="6"/>
  <c r="Q21" i="6"/>
  <c r="T24" i="6"/>
  <c r="Q22" i="6"/>
  <c r="L321" i="6"/>
  <c r="O321" i="6" s="1"/>
  <c r="O323" i="6"/>
  <c r="R21" i="6"/>
  <c r="U24" i="6"/>
  <c r="T763" i="6"/>
  <c r="Q761" i="6"/>
  <c r="T761" i="6" s="1"/>
  <c r="P189" i="6"/>
  <c r="M187" i="6"/>
  <c r="R158" i="6"/>
  <c r="U158" i="6" s="1"/>
  <c r="U693" i="6"/>
  <c r="R691" i="6"/>
  <c r="U691" i="6" s="1"/>
  <c r="T378" i="6"/>
  <c r="Q376" i="6"/>
  <c r="T376" i="6" s="1"/>
  <c r="R643" i="6"/>
  <c r="U643" i="6" s="1"/>
  <c r="M21" i="6"/>
  <c r="P24" i="6"/>
  <c r="P62" i="3"/>
  <c r="T620" i="4"/>
  <c r="T118" i="4"/>
  <c r="P334" i="5"/>
  <c r="P177" i="5"/>
  <c r="Q158" i="5"/>
  <c r="T158" i="5" s="1"/>
  <c r="O336" i="6"/>
  <c r="L334" i="6"/>
  <c r="O334" i="6" s="1"/>
  <c r="Q643" i="6"/>
  <c r="T643" i="6" s="1"/>
  <c r="O244" i="6"/>
  <c r="L233" i="6"/>
  <c r="M357" i="6"/>
  <c r="P357" i="6" s="1"/>
  <c r="P359" i="6"/>
  <c r="R174" i="6"/>
  <c r="U174" i="6" s="1"/>
  <c r="L158" i="6"/>
  <c r="O158" i="6" s="1"/>
  <c r="Q140" i="6"/>
  <c r="T140" i="6" s="1"/>
  <c r="M22" i="6"/>
  <c r="P22" i="6" s="1"/>
  <c r="M514" i="6"/>
  <c r="P514" i="6" s="1"/>
  <c r="P516" i="6"/>
  <c r="L45" i="6"/>
  <c r="O47" i="6"/>
  <c r="R22" i="6"/>
  <c r="U187" i="3"/>
  <c r="L514" i="3"/>
  <c r="O514" i="3" s="1"/>
  <c r="U497" i="3"/>
  <c r="Q414" i="4"/>
  <c r="T414" i="4" s="1"/>
  <c r="O142" i="4"/>
  <c r="U620" i="4"/>
  <c r="P267" i="5"/>
  <c r="P269" i="5"/>
  <c r="S187" i="5"/>
  <c r="T187" i="5" s="1"/>
  <c r="N174" i="5"/>
  <c r="P323" i="5"/>
  <c r="M321" i="5"/>
  <c r="P321" i="5" s="1"/>
  <c r="S95" i="3"/>
  <c r="T95" i="3" s="1"/>
  <c r="T190" i="4"/>
  <c r="M140" i="5"/>
  <c r="P140" i="5" s="1"/>
  <c r="P336" i="5"/>
  <c r="Q617" i="5"/>
  <c r="T617" i="5" s="1"/>
  <c r="U189" i="3"/>
  <c r="L118" i="3"/>
  <c r="O118" i="3" s="1"/>
  <c r="O334" i="5"/>
  <c r="R140" i="5"/>
  <c r="U140" i="5" s="1"/>
  <c r="U189" i="5"/>
  <c r="T732" i="4"/>
  <c r="I413" i="4"/>
  <c r="K413" i="4" s="1"/>
  <c r="L514" i="5"/>
  <c r="O514" i="5" s="1"/>
  <c r="R22" i="5"/>
  <c r="U21" i="5"/>
  <c r="U24" i="5"/>
  <c r="T120" i="5"/>
  <c r="Q414" i="5"/>
  <c r="T414" i="5" s="1"/>
  <c r="P285" i="5"/>
  <c r="M283" i="5"/>
  <c r="P283" i="5" s="1"/>
  <c r="Q21" i="5"/>
  <c r="Q19" i="5" s="1"/>
  <c r="T19" i="5" s="1"/>
  <c r="Q22" i="5"/>
  <c r="T75" i="3"/>
  <c r="P359" i="4"/>
  <c r="U732" i="4"/>
  <c r="U269" i="4"/>
  <c r="U269" i="3"/>
  <c r="O359" i="4"/>
  <c r="T732" i="5"/>
  <c r="M304" i="5"/>
  <c r="P304" i="5" s="1"/>
  <c r="Q140" i="4"/>
  <c r="T140" i="4" s="1"/>
  <c r="Q376" i="5"/>
  <c r="T376" i="5" s="1"/>
  <c r="T378" i="5"/>
  <c r="R187" i="5"/>
  <c r="U19" i="5"/>
  <c r="S267" i="5"/>
  <c r="T267" i="5" s="1"/>
  <c r="T176" i="5"/>
  <c r="Q174" i="5"/>
  <c r="T174" i="5" s="1"/>
  <c r="O323" i="3"/>
  <c r="M304" i="4"/>
  <c r="P304" i="4" s="1"/>
  <c r="P336" i="4"/>
  <c r="P22" i="5"/>
  <c r="L187" i="5"/>
  <c r="O187" i="5" s="1"/>
  <c r="S118" i="5"/>
  <c r="T118" i="5" s="1"/>
  <c r="L267" i="5"/>
  <c r="O267" i="5" s="1"/>
  <c r="O120" i="5"/>
  <c r="L118" i="5"/>
  <c r="O118" i="5" s="1"/>
  <c r="T73" i="3"/>
  <c r="U73" i="3"/>
  <c r="N174" i="4"/>
  <c r="O174" i="4" s="1"/>
  <c r="T619" i="4"/>
  <c r="T379" i="4"/>
  <c r="I232" i="5"/>
  <c r="I186" i="5" s="1"/>
  <c r="K186" i="5" s="1"/>
  <c r="K424" i="5"/>
  <c r="I413" i="5"/>
  <c r="K413" i="5" s="1"/>
  <c r="U269" i="5"/>
  <c r="K333" i="5"/>
  <c r="Q414" i="2"/>
  <c r="T414" i="2" s="1"/>
  <c r="K83" i="2"/>
  <c r="O357" i="2"/>
  <c r="U269" i="2"/>
  <c r="O176" i="3"/>
  <c r="U75" i="3"/>
  <c r="K333" i="4"/>
  <c r="T376" i="4"/>
  <c r="L357" i="5"/>
  <c r="O357" i="5" s="1"/>
  <c r="O359" i="5"/>
  <c r="O336" i="5"/>
  <c r="K84" i="5"/>
  <c r="I72" i="5"/>
  <c r="K72" i="5" s="1"/>
  <c r="P63" i="5"/>
  <c r="P187" i="2"/>
  <c r="U620" i="3"/>
  <c r="L267" i="4"/>
  <c r="O267" i="4" s="1"/>
  <c r="P359" i="5"/>
  <c r="T496" i="1"/>
  <c r="U617" i="4"/>
  <c r="P187" i="4"/>
  <c r="P189" i="4"/>
  <c r="Q761" i="5"/>
  <c r="T761" i="5" s="1"/>
  <c r="T763" i="5"/>
  <c r="Q73" i="5"/>
  <c r="T73" i="5" s="1"/>
  <c r="N21" i="5"/>
  <c r="N19" i="5" s="1"/>
  <c r="P20" i="5"/>
  <c r="U496" i="1"/>
  <c r="L267" i="3"/>
  <c r="O267" i="3" s="1"/>
  <c r="R691" i="5"/>
  <c r="U691" i="5" s="1"/>
  <c r="U693" i="5"/>
  <c r="L283" i="5"/>
  <c r="O283" i="5" s="1"/>
  <c r="O285" i="5"/>
  <c r="M45" i="5"/>
  <c r="K424" i="3"/>
  <c r="I413" i="3"/>
  <c r="K413" i="3" s="1"/>
  <c r="O24" i="5"/>
  <c r="Q494" i="3"/>
  <c r="T494" i="3" s="1"/>
  <c r="R494" i="3"/>
  <c r="U494" i="3" s="1"/>
  <c r="P269" i="4"/>
  <c r="O176" i="4"/>
  <c r="U645" i="5"/>
  <c r="R643" i="5"/>
  <c r="U643" i="5" s="1"/>
  <c r="T694" i="5"/>
  <c r="R729" i="5"/>
  <c r="U729" i="5" s="1"/>
  <c r="O47" i="5"/>
  <c r="L45" i="5"/>
  <c r="O62" i="5"/>
  <c r="L60" i="5"/>
  <c r="T20" i="5"/>
  <c r="L174" i="5"/>
  <c r="O176" i="5"/>
  <c r="P24" i="5"/>
  <c r="M21" i="5"/>
  <c r="P189" i="2"/>
  <c r="O189" i="2"/>
  <c r="N21" i="2"/>
  <c r="N19" i="2" s="1"/>
  <c r="P47" i="2"/>
  <c r="K375" i="3"/>
  <c r="K84" i="3"/>
  <c r="L357" i="4"/>
  <c r="O357" i="4" s="1"/>
  <c r="O336" i="4"/>
  <c r="M95" i="4"/>
  <c r="P95" i="4" s="1"/>
  <c r="M118" i="2"/>
  <c r="P118" i="2" s="1"/>
  <c r="R494" i="4"/>
  <c r="U494" i="4" s="1"/>
  <c r="S304" i="4"/>
  <c r="T304" i="4" s="1"/>
  <c r="T731" i="4"/>
  <c r="P176" i="2"/>
  <c r="Q158" i="4"/>
  <c r="T158" i="4" s="1"/>
  <c r="T160" i="4"/>
  <c r="O189" i="3"/>
  <c r="R158" i="3"/>
  <c r="U158" i="3" s="1"/>
  <c r="Q617" i="4"/>
  <c r="T617" i="4" s="1"/>
  <c r="T378" i="4"/>
  <c r="Q414" i="3"/>
  <c r="T414" i="3" s="1"/>
  <c r="P267" i="4"/>
  <c r="U619" i="4"/>
  <c r="O177" i="4"/>
  <c r="O516" i="4"/>
  <c r="L514" i="4"/>
  <c r="O514" i="4" s="1"/>
  <c r="T620" i="3"/>
  <c r="M25" i="3"/>
  <c r="P25" i="3" s="1"/>
  <c r="U270" i="4"/>
  <c r="O120" i="4"/>
  <c r="Q267" i="3"/>
  <c r="T267" i="3" s="1"/>
  <c r="L95" i="3"/>
  <c r="O95" i="3" s="1"/>
  <c r="K333" i="3"/>
  <c r="N21" i="4"/>
  <c r="N19" i="4" s="1"/>
  <c r="U731" i="3"/>
  <c r="U190" i="3"/>
  <c r="P142" i="4"/>
  <c r="P75" i="4"/>
  <c r="M73" i="4"/>
  <c r="P73" i="4" s="1"/>
  <c r="M283" i="4"/>
  <c r="P283" i="4" s="1"/>
  <c r="M21" i="3"/>
  <c r="M19" i="3" s="1"/>
  <c r="R140" i="3"/>
  <c r="U140" i="3" s="1"/>
  <c r="P62" i="4"/>
  <c r="T270" i="4"/>
  <c r="O62" i="2"/>
  <c r="P73" i="3"/>
  <c r="P160" i="3"/>
  <c r="N140" i="4"/>
  <c r="O140" i="4" s="1"/>
  <c r="M514" i="2"/>
  <c r="P514" i="2" s="1"/>
  <c r="P360" i="2"/>
  <c r="U304" i="3"/>
  <c r="O334" i="3"/>
  <c r="R22" i="3"/>
  <c r="L25" i="3"/>
  <c r="O25" i="3" s="1"/>
  <c r="T729" i="3"/>
  <c r="R691" i="4"/>
  <c r="U691" i="4" s="1"/>
  <c r="U693" i="4"/>
  <c r="U763" i="4"/>
  <c r="M357" i="4"/>
  <c r="P357" i="4" s="1"/>
  <c r="O360" i="4"/>
  <c r="O24" i="4"/>
  <c r="L21" i="4"/>
  <c r="L22" i="4"/>
  <c r="N22" i="4"/>
  <c r="U24" i="4"/>
  <c r="R21" i="4"/>
  <c r="R22" i="4"/>
  <c r="P47" i="4"/>
  <c r="T269" i="4"/>
  <c r="Q267" i="4"/>
  <c r="T267" i="4" s="1"/>
  <c r="R643" i="4"/>
  <c r="U643" i="4" s="1"/>
  <c r="U645" i="4"/>
  <c r="U761" i="4"/>
  <c r="O27" i="4"/>
  <c r="L25" i="4"/>
  <c r="O25" i="4" s="1"/>
  <c r="O97" i="4"/>
  <c r="L95" i="4"/>
  <c r="O95" i="4" s="1"/>
  <c r="Q22" i="4"/>
  <c r="T24" i="4"/>
  <c r="Q21" i="4"/>
  <c r="U142" i="4"/>
  <c r="R140" i="4"/>
  <c r="U140" i="4" s="1"/>
  <c r="S21" i="4"/>
  <c r="S19" i="4" s="1"/>
  <c r="S22" i="4"/>
  <c r="I72" i="4"/>
  <c r="K72" i="4" s="1"/>
  <c r="K84" i="4"/>
  <c r="U306" i="4"/>
  <c r="R304" i="4"/>
  <c r="I71" i="4"/>
  <c r="K71" i="4" s="1"/>
  <c r="K83" i="4"/>
  <c r="L60" i="4"/>
  <c r="O60" i="4" s="1"/>
  <c r="O62" i="4"/>
  <c r="P24" i="3"/>
  <c r="M514" i="4"/>
  <c r="P514" i="4" s="1"/>
  <c r="K243" i="4"/>
  <c r="I232" i="4"/>
  <c r="R187" i="4"/>
  <c r="U187" i="4" s="1"/>
  <c r="U189" i="4"/>
  <c r="O47" i="4"/>
  <c r="M514" i="3"/>
  <c r="P514" i="3" s="1"/>
  <c r="L187" i="4"/>
  <c r="O187" i="4" s="1"/>
  <c r="O189" i="4"/>
  <c r="M25" i="4"/>
  <c r="P25" i="4" s="1"/>
  <c r="P27" i="4"/>
  <c r="L304" i="4"/>
  <c r="O304" i="4" s="1"/>
  <c r="O306" i="4"/>
  <c r="O244" i="4"/>
  <c r="L233" i="4"/>
  <c r="O45" i="4"/>
  <c r="P334" i="2"/>
  <c r="O337" i="3"/>
  <c r="Q761" i="4"/>
  <c r="T761" i="4" s="1"/>
  <c r="T763" i="4"/>
  <c r="Q494" i="4"/>
  <c r="T494" i="4" s="1"/>
  <c r="T496" i="4"/>
  <c r="R267" i="4"/>
  <c r="U267" i="4" s="1"/>
  <c r="L334" i="4"/>
  <c r="O334" i="4" s="1"/>
  <c r="M21" i="4"/>
  <c r="P24" i="4"/>
  <c r="M22" i="4"/>
  <c r="O285" i="4"/>
  <c r="L283" i="4"/>
  <c r="O283" i="4" s="1"/>
  <c r="U190" i="4"/>
  <c r="R73" i="4"/>
  <c r="U73" i="4" s="1"/>
  <c r="U75" i="4"/>
  <c r="R729" i="4"/>
  <c r="U729" i="4" s="1"/>
  <c r="U307" i="4"/>
  <c r="M304" i="2"/>
  <c r="P304" i="2" s="1"/>
  <c r="M73" i="2"/>
  <c r="P73" i="2" s="1"/>
  <c r="S267" i="2"/>
  <c r="T267" i="2" s="1"/>
  <c r="M158" i="2"/>
  <c r="P158" i="2" s="1"/>
  <c r="R414" i="2"/>
  <c r="U414" i="2" s="1"/>
  <c r="P158" i="3"/>
  <c r="L304" i="3"/>
  <c r="O304" i="3" s="1"/>
  <c r="T729" i="2"/>
  <c r="Q187" i="3"/>
  <c r="T187" i="3" s="1"/>
  <c r="T694" i="3"/>
  <c r="O336" i="2"/>
  <c r="O22" i="3"/>
  <c r="P22" i="3"/>
  <c r="T693" i="3"/>
  <c r="P142" i="3"/>
  <c r="L357" i="3"/>
  <c r="O357" i="3" s="1"/>
  <c r="O190" i="3"/>
  <c r="T306" i="2"/>
  <c r="O160" i="3"/>
  <c r="L158" i="3"/>
  <c r="O158" i="3" s="1"/>
  <c r="R158" i="2"/>
  <c r="U158" i="2" s="1"/>
  <c r="U120" i="2"/>
  <c r="T731" i="3"/>
  <c r="T691" i="3"/>
  <c r="T121" i="3"/>
  <c r="M118" i="3"/>
  <c r="P118" i="3" s="1"/>
  <c r="U97" i="3"/>
  <c r="P336" i="2"/>
  <c r="U189" i="2"/>
  <c r="U176" i="2"/>
  <c r="M95" i="3"/>
  <c r="P95" i="3" s="1"/>
  <c r="U120" i="3"/>
  <c r="U378" i="3"/>
  <c r="R376" i="3"/>
  <c r="U376" i="3" s="1"/>
  <c r="S334" i="1"/>
  <c r="O177" i="1"/>
  <c r="M95" i="2"/>
  <c r="P95" i="2" s="1"/>
  <c r="U763" i="3"/>
  <c r="L283" i="3"/>
  <c r="O283" i="3" s="1"/>
  <c r="P75" i="3"/>
  <c r="P323" i="3"/>
  <c r="U416" i="3"/>
  <c r="R414" i="3"/>
  <c r="U414" i="3" s="1"/>
  <c r="L334" i="2"/>
  <c r="O334" i="2" s="1"/>
  <c r="M283" i="2"/>
  <c r="P283" i="2" s="1"/>
  <c r="T691" i="2"/>
  <c r="R729" i="3"/>
  <c r="U729" i="3" s="1"/>
  <c r="M304" i="3"/>
  <c r="P304" i="3" s="1"/>
  <c r="T190" i="3"/>
  <c r="U21" i="3"/>
  <c r="O244" i="3"/>
  <c r="L233" i="3"/>
  <c r="Q761" i="3"/>
  <c r="T761" i="3" s="1"/>
  <c r="T763" i="3"/>
  <c r="P359" i="3"/>
  <c r="M357" i="3"/>
  <c r="P357" i="3" s="1"/>
  <c r="N140" i="3"/>
  <c r="O142" i="3"/>
  <c r="U24" i="3"/>
  <c r="Q140" i="3"/>
  <c r="T140" i="3" s="1"/>
  <c r="T142" i="3"/>
  <c r="P334" i="3"/>
  <c r="P189" i="3"/>
  <c r="R691" i="3"/>
  <c r="U691" i="3" s="1"/>
  <c r="U693" i="3"/>
  <c r="K254" i="3"/>
  <c r="I232" i="3"/>
  <c r="I71" i="3"/>
  <c r="K71" i="3" s="1"/>
  <c r="K83" i="3"/>
  <c r="P336" i="3"/>
  <c r="O73" i="3"/>
  <c r="O62" i="1"/>
  <c r="R267" i="2"/>
  <c r="L118" i="2"/>
  <c r="O118" i="2" s="1"/>
  <c r="P22" i="2"/>
  <c r="R643" i="3"/>
  <c r="U643" i="3" s="1"/>
  <c r="U645" i="3"/>
  <c r="P269" i="3"/>
  <c r="M267" i="3"/>
  <c r="P267" i="3" s="1"/>
  <c r="Q21" i="3"/>
  <c r="T24" i="3"/>
  <c r="S22" i="3"/>
  <c r="P45" i="3"/>
  <c r="N187" i="3"/>
  <c r="O187" i="3" s="1"/>
  <c r="N21" i="3"/>
  <c r="N19" i="3" s="1"/>
  <c r="O75" i="3"/>
  <c r="T376" i="2"/>
  <c r="U761" i="3"/>
  <c r="O360" i="3"/>
  <c r="O336" i="3"/>
  <c r="N321" i="3"/>
  <c r="P321" i="3" s="1"/>
  <c r="N60" i="3"/>
  <c r="P60" i="3" s="1"/>
  <c r="O62" i="3"/>
  <c r="P47" i="3"/>
  <c r="L21" i="3"/>
  <c r="O24" i="3"/>
  <c r="O45" i="3"/>
  <c r="U19" i="3"/>
  <c r="O47" i="3"/>
  <c r="O215" i="1"/>
  <c r="P267" i="2"/>
  <c r="K702" i="2"/>
  <c r="O323" i="2"/>
  <c r="M174" i="2"/>
  <c r="P174" i="2" s="1"/>
  <c r="T189" i="2"/>
  <c r="O142" i="2"/>
  <c r="L140" i="2"/>
  <c r="O140" i="2" s="1"/>
  <c r="O321" i="2"/>
  <c r="K375" i="2"/>
  <c r="K504" i="2"/>
  <c r="J493" i="2"/>
  <c r="K493" i="2" s="1"/>
  <c r="N25" i="2"/>
  <c r="K424" i="2"/>
  <c r="I413" i="2"/>
  <c r="K413" i="2" s="1"/>
  <c r="T731" i="2"/>
  <c r="T142" i="2"/>
  <c r="Q140" i="2"/>
  <c r="T140" i="2" s="1"/>
  <c r="O516" i="2"/>
  <c r="K84" i="2"/>
  <c r="I72" i="2"/>
  <c r="K72" i="2" s="1"/>
  <c r="O359" i="2"/>
  <c r="O514" i="2"/>
  <c r="T176" i="2"/>
  <c r="Q174" i="2"/>
  <c r="T174" i="2" s="1"/>
  <c r="Q617" i="2"/>
  <c r="T617" i="2" s="1"/>
  <c r="T693" i="2"/>
  <c r="T378" i="2"/>
  <c r="L267" i="2"/>
  <c r="O267" i="2" s="1"/>
  <c r="O22" i="2"/>
  <c r="O306" i="2"/>
  <c r="L304" i="2"/>
  <c r="O304" i="2" s="1"/>
  <c r="R643" i="2"/>
  <c r="U643" i="2" s="1"/>
  <c r="U645" i="2"/>
  <c r="U494" i="2"/>
  <c r="M140" i="2"/>
  <c r="P140" i="2" s="1"/>
  <c r="Q21" i="2"/>
  <c r="T24" i="2"/>
  <c r="Q22" i="2"/>
  <c r="S19" i="2"/>
  <c r="R118" i="2"/>
  <c r="U118" i="2" s="1"/>
  <c r="P62" i="2"/>
  <c r="M60" i="2"/>
  <c r="P60" i="2" s="1"/>
  <c r="L95" i="2"/>
  <c r="O95" i="2" s="1"/>
  <c r="S22" i="2"/>
  <c r="U761" i="2"/>
  <c r="U496" i="2"/>
  <c r="O20" i="2"/>
  <c r="O324" i="2"/>
  <c r="P324" i="2"/>
  <c r="L187" i="2"/>
  <c r="O187" i="2" s="1"/>
  <c r="T160" i="2"/>
  <c r="Q158" i="2"/>
  <c r="T158" i="2" s="1"/>
  <c r="R21" i="2"/>
  <c r="U24" i="2"/>
  <c r="R22" i="2"/>
  <c r="M21" i="2"/>
  <c r="P24" i="2"/>
  <c r="P323" i="2"/>
  <c r="M321" i="2"/>
  <c r="P321" i="2" s="1"/>
  <c r="P269" i="2"/>
  <c r="T120" i="2"/>
  <c r="Q118" i="2"/>
  <c r="T118" i="2" s="1"/>
  <c r="Q761" i="2"/>
  <c r="T761" i="2" s="1"/>
  <c r="T763" i="2"/>
  <c r="T496" i="2"/>
  <c r="Q494" i="2"/>
  <c r="T494" i="2" s="1"/>
  <c r="T620" i="2"/>
  <c r="P359" i="2"/>
  <c r="M357" i="2"/>
  <c r="P357" i="2" s="1"/>
  <c r="K243" i="2"/>
  <c r="I232" i="2"/>
  <c r="R187" i="2"/>
  <c r="U187" i="2" s="1"/>
  <c r="L60" i="2"/>
  <c r="O60" i="2" s="1"/>
  <c r="L21" i="2"/>
  <c r="O24" i="2"/>
  <c r="L45" i="2"/>
  <c r="O47" i="2"/>
  <c r="L233" i="2"/>
  <c r="N41" i="2"/>
  <c r="R95" i="2"/>
  <c r="U95" i="2" s="1"/>
  <c r="R691" i="2"/>
  <c r="U691" i="2" s="1"/>
  <c r="U693" i="2"/>
  <c r="R729" i="2"/>
  <c r="U729" i="2" s="1"/>
  <c r="U731" i="2"/>
  <c r="U763" i="2"/>
  <c r="L174" i="2"/>
  <c r="O174" i="2" s="1"/>
  <c r="O176" i="2"/>
  <c r="O285" i="2"/>
  <c r="L283" i="2"/>
  <c r="O283" i="2" s="1"/>
  <c r="O27" i="2"/>
  <c r="L25" i="2"/>
  <c r="T97" i="2"/>
  <c r="Q95" i="2"/>
  <c r="T95" i="2" s="1"/>
  <c r="M45" i="2"/>
  <c r="S494" i="1"/>
  <c r="U190" i="1"/>
  <c r="U76" i="1"/>
  <c r="O336" i="1"/>
  <c r="T76" i="1"/>
  <c r="U619" i="1"/>
  <c r="T306" i="1"/>
  <c r="O223" i="1"/>
  <c r="O520" i="1"/>
  <c r="L304" i="1"/>
  <c r="O304" i="1" s="1"/>
  <c r="J458" i="1"/>
  <c r="J457" i="1" s="1"/>
  <c r="N321" i="1"/>
  <c r="Q761" i="1"/>
  <c r="T761" i="1" s="1"/>
  <c r="L617" i="1"/>
  <c r="O617" i="1" s="1"/>
  <c r="N729" i="1"/>
  <c r="O142" i="1"/>
  <c r="N617" i="1"/>
  <c r="N60" i="1"/>
  <c r="M174" i="1"/>
  <c r="P174" i="1" s="1"/>
  <c r="U764" i="1"/>
  <c r="R414" i="1"/>
  <c r="U414" i="1" s="1"/>
  <c r="L729" i="1"/>
  <c r="O729" i="1" s="1"/>
  <c r="P190" i="1"/>
  <c r="N494" i="1"/>
  <c r="N267" i="1"/>
  <c r="S617" i="1"/>
  <c r="O359" i="1"/>
  <c r="S283" i="1"/>
  <c r="S304" i="1"/>
  <c r="N715" i="1"/>
  <c r="P269" i="1"/>
  <c r="I413" i="1"/>
  <c r="K413" i="1" s="1"/>
  <c r="N514" i="1"/>
  <c r="U497" i="1"/>
  <c r="P142" i="1"/>
  <c r="T497" i="1"/>
  <c r="L21" i="1"/>
  <c r="M577" i="1"/>
  <c r="P577" i="1" s="1"/>
  <c r="M21" i="1"/>
  <c r="U731" i="1"/>
  <c r="P307" i="1"/>
  <c r="P323" i="1"/>
  <c r="M334" i="1"/>
  <c r="M60" i="1"/>
  <c r="N761" i="1"/>
  <c r="N376" i="1"/>
  <c r="K71" i="1"/>
  <c r="O190" i="1"/>
  <c r="T75" i="1"/>
  <c r="R729" i="1"/>
  <c r="L715" i="1"/>
  <c r="O715" i="1" s="1"/>
  <c r="N357" i="1"/>
  <c r="P270" i="1"/>
  <c r="S729" i="1"/>
  <c r="P177" i="1"/>
  <c r="P62" i="1"/>
  <c r="O323" i="1"/>
  <c r="L22" i="1"/>
  <c r="L357" i="1"/>
  <c r="U98" i="1"/>
  <c r="R140" i="1"/>
  <c r="U140" i="1" s="1"/>
  <c r="S691" i="1"/>
  <c r="S376" i="1"/>
  <c r="R45" i="1"/>
  <c r="U45" i="1" s="1"/>
  <c r="N118" i="1"/>
  <c r="S21" i="1"/>
  <c r="P324" i="1"/>
  <c r="T693" i="1"/>
  <c r="U646" i="1"/>
  <c r="L600" i="1"/>
  <c r="O600" i="1" s="1"/>
  <c r="O516" i="1"/>
  <c r="P359" i="1"/>
  <c r="M304" i="1"/>
  <c r="P304" i="1" s="1"/>
  <c r="S22" i="1"/>
  <c r="R25" i="1"/>
  <c r="U25" i="1" s="1"/>
  <c r="R535" i="1"/>
  <c r="U535" i="1" s="1"/>
  <c r="S393" i="1"/>
  <c r="R304" i="1"/>
  <c r="L376" i="1"/>
  <c r="O376" i="1" s="1"/>
  <c r="T98" i="1"/>
  <c r="O285" i="1"/>
  <c r="O176" i="1"/>
  <c r="L95" i="1"/>
  <c r="O95" i="1" s="1"/>
  <c r="R174" i="1"/>
  <c r="U174" i="1" s="1"/>
  <c r="M22" i="1"/>
  <c r="S535" i="1"/>
  <c r="U270" i="1"/>
  <c r="Q20" i="1"/>
  <c r="T20" i="1" s="1"/>
  <c r="S73" i="1"/>
  <c r="P336" i="1"/>
  <c r="K702" i="1"/>
  <c r="R283" i="1"/>
  <c r="U283" i="1" s="1"/>
  <c r="R514" i="1"/>
  <c r="U514" i="1" s="1"/>
  <c r="N577" i="1"/>
  <c r="U97" i="1"/>
  <c r="S95" i="1"/>
  <c r="S577" i="1"/>
  <c r="M158" i="1"/>
  <c r="P579" i="1"/>
  <c r="R357" i="1"/>
  <c r="U357" i="1" s="1"/>
  <c r="L691" i="1"/>
  <c r="O691" i="1" s="1"/>
  <c r="Q535" i="1"/>
  <c r="T535" i="1" s="1"/>
  <c r="O24" i="1"/>
  <c r="N556" i="1"/>
  <c r="L761" i="1"/>
  <c r="O761" i="1" s="1"/>
  <c r="Q556" i="1"/>
  <c r="T556" i="1" s="1"/>
  <c r="U693" i="1"/>
  <c r="L174" i="1"/>
  <c r="O174" i="1" s="1"/>
  <c r="S357" i="1"/>
  <c r="U732" i="1"/>
  <c r="Q414" i="1"/>
  <c r="T414" i="1" s="1"/>
  <c r="M600" i="1"/>
  <c r="P600" i="1" s="1"/>
  <c r="K333" i="1"/>
  <c r="Q357" i="1"/>
  <c r="T357" i="1" s="1"/>
  <c r="Q73" i="1"/>
  <c r="K83" i="1"/>
  <c r="P286" i="1"/>
  <c r="Q334" i="1"/>
  <c r="T334" i="1" s="1"/>
  <c r="R21" i="1"/>
  <c r="R376" i="1"/>
  <c r="U376" i="1" s="1"/>
  <c r="U516" i="1"/>
  <c r="S715" i="1"/>
  <c r="O286" i="1"/>
  <c r="U175" i="1"/>
  <c r="P360" i="1"/>
  <c r="T731" i="1"/>
  <c r="P63" i="1"/>
  <c r="S556" i="1"/>
  <c r="M118" i="1"/>
  <c r="P118" i="1" s="1"/>
  <c r="Q45" i="1"/>
  <c r="T45" i="1" s="1"/>
  <c r="Q118" i="1"/>
  <c r="T118" i="1" s="1"/>
  <c r="P143" i="1"/>
  <c r="T694" i="1"/>
  <c r="R267" i="1"/>
  <c r="U267" i="1" s="1"/>
  <c r="N187" i="1"/>
  <c r="O187" i="1" s="1"/>
  <c r="N334" i="1"/>
  <c r="T24" i="1"/>
  <c r="O76" i="1"/>
  <c r="O63" i="1"/>
  <c r="Q376" i="1"/>
  <c r="T645" i="1"/>
  <c r="P160" i="1"/>
  <c r="M494" i="1"/>
  <c r="P494" i="1" s="1"/>
  <c r="L414" i="1"/>
  <c r="O414" i="1" s="1"/>
  <c r="K633" i="1"/>
  <c r="N158" i="1"/>
  <c r="L643" i="1"/>
  <c r="O643" i="1" s="1"/>
  <c r="T270" i="1"/>
  <c r="N25" i="1"/>
  <c r="P76" i="1"/>
  <c r="J459" i="1"/>
  <c r="T268" i="1"/>
  <c r="Q267" i="1"/>
  <c r="T378" i="1"/>
  <c r="O337" i="1"/>
  <c r="Q187" i="1"/>
  <c r="L60" i="1"/>
  <c r="M267" i="1"/>
  <c r="M25" i="1"/>
  <c r="P25" i="1" s="1"/>
  <c r="S414" i="1"/>
  <c r="O27" i="1"/>
  <c r="P337" i="1"/>
  <c r="R715" i="1"/>
  <c r="U715" i="1" s="1"/>
  <c r="R691" i="1"/>
  <c r="M643" i="1"/>
  <c r="P643" i="1" s="1"/>
  <c r="T190" i="1"/>
  <c r="Q22" i="1"/>
  <c r="T732" i="1"/>
  <c r="R761" i="1"/>
  <c r="U761" i="1" s="1"/>
  <c r="O307" i="1"/>
  <c r="N20" i="1"/>
  <c r="M20" i="1"/>
  <c r="P20" i="1" s="1"/>
  <c r="S321" i="1"/>
  <c r="N283" i="1"/>
  <c r="L73" i="1"/>
  <c r="O73" i="1" s="1"/>
  <c r="O395" i="1"/>
  <c r="L393" i="1"/>
  <c r="O393" i="1" s="1"/>
  <c r="O61" i="1"/>
  <c r="O495" i="1"/>
  <c r="L494" i="1"/>
  <c r="O494" i="1" s="1"/>
  <c r="L267" i="1"/>
  <c r="O267" i="1" s="1"/>
  <c r="O269" i="1"/>
  <c r="L118" i="1"/>
  <c r="O118" i="1" s="1"/>
  <c r="O119" i="1"/>
  <c r="O175" i="1"/>
  <c r="U26" i="1"/>
  <c r="M535" i="1"/>
  <c r="P535" i="1" s="1"/>
  <c r="M556" i="1"/>
  <c r="P556" i="1" s="1"/>
  <c r="P557" i="1"/>
  <c r="K84" i="1"/>
  <c r="I72" i="1"/>
  <c r="K72" i="1" s="1"/>
  <c r="L321" i="1"/>
  <c r="O322" i="1"/>
  <c r="O189" i="1"/>
  <c r="M393" i="1"/>
  <c r="P393" i="1" s="1"/>
  <c r="P395" i="1"/>
  <c r="S20" i="1"/>
  <c r="O324" i="1"/>
  <c r="M283" i="1"/>
  <c r="P284" i="1"/>
  <c r="U394" i="1"/>
  <c r="R393" i="1"/>
  <c r="U393" i="1" s="1"/>
  <c r="U694" i="1"/>
  <c r="Q577" i="1"/>
  <c r="T577" i="1" s="1"/>
  <c r="K616" i="1"/>
  <c r="R556" i="1"/>
  <c r="U556" i="1" s="1"/>
  <c r="M187" i="1"/>
  <c r="T379" i="1"/>
  <c r="O763" i="1"/>
  <c r="M761" i="1"/>
  <c r="P761" i="1" s="1"/>
  <c r="T646" i="1"/>
  <c r="M617" i="1"/>
  <c r="P617" i="1" s="1"/>
  <c r="L556" i="1"/>
  <c r="O556" i="1" s="1"/>
  <c r="Q321" i="1"/>
  <c r="T321" i="1" s="1"/>
  <c r="Q174" i="1"/>
  <c r="T174" i="1" s="1"/>
  <c r="U24" i="1"/>
  <c r="Q514" i="1"/>
  <c r="T514" i="1" s="1"/>
  <c r="M414" i="1"/>
  <c r="P414" i="1" s="1"/>
  <c r="L514" i="1"/>
  <c r="Q494" i="1"/>
  <c r="U618" i="1"/>
  <c r="R617" i="1"/>
  <c r="T692" i="1"/>
  <c r="Q691" i="1"/>
  <c r="U645" i="1"/>
  <c r="U495" i="1"/>
  <c r="R494" i="1"/>
  <c r="L334" i="1"/>
  <c r="P189" i="1"/>
  <c r="R73" i="1"/>
  <c r="U74" i="1"/>
  <c r="T189" i="1"/>
  <c r="L535" i="1"/>
  <c r="O535" i="1" s="1"/>
  <c r="O536" i="1"/>
  <c r="T305" i="1"/>
  <c r="Q304" i="1"/>
  <c r="R118" i="1"/>
  <c r="U119" i="1"/>
  <c r="M95" i="1"/>
  <c r="P95" i="1" s="1"/>
  <c r="P97" i="1"/>
  <c r="O360" i="1"/>
  <c r="T716" i="1"/>
  <c r="Q715" i="1"/>
  <c r="T715" i="1" s="1"/>
  <c r="R334" i="1"/>
  <c r="U334" i="1" s="1"/>
  <c r="U335" i="1"/>
  <c r="Q140" i="1"/>
  <c r="T140" i="1" s="1"/>
  <c r="T141" i="1"/>
  <c r="S25" i="1"/>
  <c r="P176" i="1"/>
  <c r="Q95" i="1"/>
  <c r="T97" i="1"/>
  <c r="P74" i="1"/>
  <c r="M73" i="1"/>
  <c r="P73" i="1" s="1"/>
  <c r="R60" i="1"/>
  <c r="U60" i="1" s="1"/>
  <c r="S187" i="1"/>
  <c r="U187" i="1" s="1"/>
  <c r="T730" i="1"/>
  <c r="Q729" i="1"/>
  <c r="L283" i="1"/>
  <c r="O45" i="1"/>
  <c r="O143" i="1"/>
  <c r="L577" i="1"/>
  <c r="O577" i="1" s="1"/>
  <c r="O578" i="1"/>
  <c r="M514" i="1"/>
  <c r="P514" i="1" s="1"/>
  <c r="P515" i="1"/>
  <c r="M140" i="1"/>
  <c r="P141" i="1"/>
  <c r="Q393" i="1"/>
  <c r="T393" i="1" s="1"/>
  <c r="T394" i="1"/>
  <c r="P322" i="1"/>
  <c r="M321" i="1"/>
  <c r="R321" i="1"/>
  <c r="U321" i="1" s="1"/>
  <c r="U322" i="1"/>
  <c r="T284" i="1"/>
  <c r="Q283" i="1"/>
  <c r="T283" i="1" s="1"/>
  <c r="T619" i="1"/>
  <c r="Q617" i="1"/>
  <c r="Q25" i="1"/>
  <c r="T25" i="1" s="1"/>
  <c r="M376" i="1"/>
  <c r="P376" i="1" s="1"/>
  <c r="P378" i="1"/>
  <c r="U159" i="1"/>
  <c r="R158" i="1"/>
  <c r="U158" i="1" s="1"/>
  <c r="R95" i="1"/>
  <c r="U96" i="1"/>
  <c r="R22" i="1"/>
  <c r="U23" i="1"/>
  <c r="R20" i="1"/>
  <c r="P730" i="1"/>
  <c r="M729" i="1"/>
  <c r="P729" i="1" s="1"/>
  <c r="T764" i="1"/>
  <c r="O159" i="1"/>
  <c r="L158" i="1"/>
  <c r="P47" i="1"/>
  <c r="M45" i="1"/>
  <c r="P45" i="1" s="1"/>
  <c r="L25" i="1"/>
  <c r="O26" i="1"/>
  <c r="L20" i="1"/>
  <c r="P358" i="1"/>
  <c r="M357" i="1"/>
  <c r="U644" i="1"/>
  <c r="R643" i="1"/>
  <c r="U643" i="1" s="1"/>
  <c r="Q600" i="1"/>
  <c r="T600" i="1" s="1"/>
  <c r="T601" i="1"/>
  <c r="N22" i="1"/>
  <c r="N21" i="1"/>
  <c r="U602" i="1"/>
  <c r="R600" i="1"/>
  <c r="U600" i="1" s="1"/>
  <c r="Q21" i="1"/>
  <c r="K627" i="1"/>
  <c r="P24" i="1"/>
  <c r="P716" i="1"/>
  <c r="M715" i="1"/>
  <c r="P715" i="1" s="1"/>
  <c r="T644" i="1"/>
  <c r="Q643" i="1"/>
  <c r="T643" i="1" s="1"/>
  <c r="P692" i="1"/>
  <c r="M691" i="1"/>
  <c r="P691" i="1" s="1"/>
  <c r="R577" i="1"/>
  <c r="U577" i="1" s="1"/>
  <c r="Q60" i="1"/>
  <c r="T60" i="1" s="1"/>
  <c r="Q158" i="1"/>
  <c r="T158" i="1" s="1"/>
  <c r="O47" i="1"/>
  <c r="U118" i="1" l="1"/>
  <c r="T267" i="1"/>
  <c r="P60" i="13"/>
  <c r="P22" i="12"/>
  <c r="O22" i="13"/>
  <c r="U22" i="10"/>
  <c r="P19" i="11"/>
  <c r="T21" i="14"/>
  <c r="P22" i="15"/>
  <c r="U22" i="6"/>
  <c r="U21" i="14"/>
  <c r="R19" i="14"/>
  <c r="U19" i="14" s="1"/>
  <c r="I186" i="12"/>
  <c r="K186" i="12" s="1"/>
  <c r="P21" i="13"/>
  <c r="U22" i="15"/>
  <c r="T22" i="15"/>
  <c r="P73" i="15"/>
  <c r="M41" i="15"/>
  <c r="P41" i="15" s="1"/>
  <c r="S19" i="15"/>
  <c r="U21" i="15"/>
  <c r="T21" i="15"/>
  <c r="K232" i="15"/>
  <c r="I186" i="15"/>
  <c r="K186" i="15" s="1"/>
  <c r="U73" i="15"/>
  <c r="O21" i="15"/>
  <c r="L19" i="15"/>
  <c r="O19" i="15" s="1"/>
  <c r="O73" i="15"/>
  <c r="L41" i="15"/>
  <c r="O41" i="15" s="1"/>
  <c r="M19" i="15"/>
  <c r="P19" i="15" s="1"/>
  <c r="P21" i="15"/>
  <c r="U761" i="15"/>
  <c r="P140" i="1"/>
  <c r="O187" i="14"/>
  <c r="M41" i="14"/>
  <c r="P21" i="14"/>
  <c r="M19" i="14"/>
  <c r="P19" i="14" s="1"/>
  <c r="K232" i="14"/>
  <c r="I186" i="14"/>
  <c r="K186" i="14" s="1"/>
  <c r="N41" i="14"/>
  <c r="O45" i="14"/>
  <c r="L41" i="14"/>
  <c r="L19" i="14"/>
  <c r="O19" i="14" s="1"/>
  <c r="O21" i="14"/>
  <c r="R19" i="13"/>
  <c r="U19" i="13" s="1"/>
  <c r="U21" i="13"/>
  <c r="T22" i="13"/>
  <c r="K232" i="13"/>
  <c r="I186" i="13"/>
  <c r="K186" i="13" s="1"/>
  <c r="O187" i="13"/>
  <c r="P140" i="13"/>
  <c r="U22" i="11"/>
  <c r="I186" i="6"/>
  <c r="K186" i="6" s="1"/>
  <c r="Q19" i="11"/>
  <c r="T19" i="11" s="1"/>
  <c r="N41" i="13"/>
  <c r="L41" i="13"/>
  <c r="N19" i="13"/>
  <c r="O19" i="13" s="1"/>
  <c r="O21" i="13"/>
  <c r="P22" i="13"/>
  <c r="P158" i="13"/>
  <c r="M41" i="13"/>
  <c r="U22" i="12"/>
  <c r="Q19" i="12"/>
  <c r="T19" i="12" s="1"/>
  <c r="U118" i="12"/>
  <c r="T118" i="12"/>
  <c r="M41" i="12"/>
  <c r="P41" i="12" s="1"/>
  <c r="L41" i="12"/>
  <c r="O41" i="12" s="1"/>
  <c r="O45" i="12"/>
  <c r="O21" i="12"/>
  <c r="L19" i="12"/>
  <c r="O19" i="12" s="1"/>
  <c r="P21" i="12"/>
  <c r="M19" i="12"/>
  <c r="P19" i="12" s="1"/>
  <c r="M41" i="11"/>
  <c r="P41" i="11" s="1"/>
  <c r="P21" i="11"/>
  <c r="R19" i="11"/>
  <c r="U19" i="11" s="1"/>
  <c r="U21" i="11"/>
  <c r="L19" i="11"/>
  <c r="O19" i="11" s="1"/>
  <c r="O21" i="11"/>
  <c r="I186" i="11"/>
  <c r="K186" i="11" s="1"/>
  <c r="K232" i="11"/>
  <c r="L41" i="11"/>
  <c r="O41" i="11" s="1"/>
  <c r="N41" i="10"/>
  <c r="T22" i="9"/>
  <c r="O21" i="10"/>
  <c r="T22" i="8"/>
  <c r="O19" i="10"/>
  <c r="P22" i="10"/>
  <c r="M41" i="9"/>
  <c r="P41" i="9" s="1"/>
  <c r="T22" i="10"/>
  <c r="P73" i="10"/>
  <c r="M41" i="10"/>
  <c r="P21" i="10"/>
  <c r="M19" i="10"/>
  <c r="P19" i="10" s="1"/>
  <c r="I186" i="10"/>
  <c r="K186" i="10" s="1"/>
  <c r="K232" i="10"/>
  <c r="O45" i="10"/>
  <c r="L41" i="10"/>
  <c r="I186" i="8"/>
  <c r="K186" i="8" s="1"/>
  <c r="Q19" i="10"/>
  <c r="T19" i="10" s="1"/>
  <c r="T21" i="10"/>
  <c r="O21" i="9"/>
  <c r="K232" i="9"/>
  <c r="I186" i="9"/>
  <c r="K186" i="9" s="1"/>
  <c r="S19" i="9"/>
  <c r="T21" i="9"/>
  <c r="L41" i="9"/>
  <c r="O41" i="9" s="1"/>
  <c r="P21" i="9"/>
  <c r="M19" i="9"/>
  <c r="P19" i="9" s="1"/>
  <c r="U22" i="9"/>
  <c r="O21" i="7"/>
  <c r="U21" i="9"/>
  <c r="O22" i="9"/>
  <c r="P22" i="9"/>
  <c r="L19" i="9"/>
  <c r="O19" i="9" s="1"/>
  <c r="P19" i="8"/>
  <c r="U22" i="5"/>
  <c r="T21" i="8"/>
  <c r="Q19" i="8"/>
  <c r="T19" i="8" s="1"/>
  <c r="T22" i="6"/>
  <c r="T304" i="7"/>
  <c r="O19" i="8"/>
  <c r="O21" i="8"/>
  <c r="U21" i="8"/>
  <c r="R19" i="8"/>
  <c r="U19" i="8" s="1"/>
  <c r="P45" i="8"/>
  <c r="M41" i="8"/>
  <c r="P41" i="8" s="1"/>
  <c r="P21" i="8"/>
  <c r="O60" i="5"/>
  <c r="T761" i="7"/>
  <c r="L41" i="8"/>
  <c r="O41" i="8" s="1"/>
  <c r="O45" i="8"/>
  <c r="T22" i="5"/>
  <c r="N41" i="5"/>
  <c r="U22" i="7"/>
  <c r="U95" i="3"/>
  <c r="T22" i="7"/>
  <c r="R19" i="7"/>
  <c r="U19" i="7" s="1"/>
  <c r="U643" i="7"/>
  <c r="L19" i="7"/>
  <c r="O19" i="7" s="1"/>
  <c r="P45" i="7"/>
  <c r="M41" i="7"/>
  <c r="P41" i="7" s="1"/>
  <c r="P21" i="7"/>
  <c r="M19" i="7"/>
  <c r="P19" i="7" s="1"/>
  <c r="I186" i="7"/>
  <c r="K186" i="7" s="1"/>
  <c r="K232" i="7"/>
  <c r="K232" i="5"/>
  <c r="O174" i="5"/>
  <c r="T21" i="7"/>
  <c r="Q19" i="7"/>
  <c r="T19" i="7" s="1"/>
  <c r="O45" i="7"/>
  <c r="L41" i="7"/>
  <c r="O41" i="7" s="1"/>
  <c r="U187" i="5"/>
  <c r="O21" i="5"/>
  <c r="P187" i="6"/>
  <c r="O19" i="5"/>
  <c r="N41" i="6"/>
  <c r="P174" i="5"/>
  <c r="T21" i="5"/>
  <c r="U21" i="6"/>
  <c r="R19" i="6"/>
  <c r="U19" i="6" s="1"/>
  <c r="P21" i="6"/>
  <c r="M19" i="6"/>
  <c r="P19" i="6" s="1"/>
  <c r="M41" i="6"/>
  <c r="O45" i="6"/>
  <c r="L41" i="6"/>
  <c r="T21" i="6"/>
  <c r="Q19" i="6"/>
  <c r="T19" i="6" s="1"/>
  <c r="O21" i="6"/>
  <c r="L19" i="6"/>
  <c r="O19" i="6" s="1"/>
  <c r="U304" i="4"/>
  <c r="P21" i="5"/>
  <c r="P174" i="4"/>
  <c r="U118" i="5"/>
  <c r="U267" i="5"/>
  <c r="O45" i="5"/>
  <c r="L41" i="5"/>
  <c r="M41" i="5"/>
  <c r="P45" i="5"/>
  <c r="N41" i="4"/>
  <c r="M19" i="5"/>
  <c r="P19" i="5" s="1"/>
  <c r="P140" i="4"/>
  <c r="O21" i="2"/>
  <c r="P19" i="3"/>
  <c r="U22" i="3"/>
  <c r="P22" i="4"/>
  <c r="O22" i="4"/>
  <c r="M41" i="4"/>
  <c r="K232" i="4"/>
  <c r="I186" i="4"/>
  <c r="K186" i="4" s="1"/>
  <c r="Q19" i="4"/>
  <c r="T19" i="4" s="1"/>
  <c r="T21" i="4"/>
  <c r="O21" i="4"/>
  <c r="L19" i="4"/>
  <c r="O19" i="4" s="1"/>
  <c r="L41" i="4"/>
  <c r="U22" i="4"/>
  <c r="T22" i="4"/>
  <c r="U21" i="4"/>
  <c r="R19" i="4"/>
  <c r="U19" i="4" s="1"/>
  <c r="P21" i="4"/>
  <c r="M19" i="4"/>
  <c r="P19" i="4" s="1"/>
  <c r="O321" i="3"/>
  <c r="P21" i="3"/>
  <c r="U267" i="2"/>
  <c r="T22" i="3"/>
  <c r="L41" i="3"/>
  <c r="M41" i="3"/>
  <c r="O21" i="3"/>
  <c r="L19" i="3"/>
  <c r="O19" i="3" s="1"/>
  <c r="T21" i="3"/>
  <c r="Q19" i="3"/>
  <c r="T19" i="3" s="1"/>
  <c r="P187" i="3"/>
  <c r="I186" i="3"/>
  <c r="K186" i="3" s="1"/>
  <c r="K232" i="3"/>
  <c r="P140" i="3"/>
  <c r="O140" i="3"/>
  <c r="O60" i="3"/>
  <c r="N41" i="3"/>
  <c r="T494" i="1"/>
  <c r="U22" i="2"/>
  <c r="U494" i="1"/>
  <c r="O25" i="2"/>
  <c r="I186" i="2"/>
  <c r="K186" i="2" s="1"/>
  <c r="K232" i="2"/>
  <c r="O45" i="2"/>
  <c r="L41" i="2"/>
  <c r="O41" i="2" s="1"/>
  <c r="U21" i="2"/>
  <c r="R19" i="2"/>
  <c r="U19" i="2" s="1"/>
  <c r="L19" i="2"/>
  <c r="O19" i="2" s="1"/>
  <c r="T21" i="2"/>
  <c r="Q19" i="2"/>
  <c r="T19" i="2" s="1"/>
  <c r="P21" i="2"/>
  <c r="M19" i="2"/>
  <c r="P19" i="2" s="1"/>
  <c r="T22" i="2"/>
  <c r="P45" i="2"/>
  <c r="M41" i="2"/>
  <c r="P41" i="2" s="1"/>
  <c r="T304" i="1"/>
  <c r="T617" i="1"/>
  <c r="U617" i="1"/>
  <c r="O158" i="1"/>
  <c r="P321" i="1"/>
  <c r="U22" i="1"/>
  <c r="O60" i="1"/>
  <c r="O321" i="1"/>
  <c r="T22" i="1"/>
  <c r="O514" i="1"/>
  <c r="T376" i="1"/>
  <c r="U729" i="1"/>
  <c r="P60" i="1"/>
  <c r="P334" i="1"/>
  <c r="T729" i="1"/>
  <c r="P267" i="1"/>
  <c r="U21" i="1"/>
  <c r="T95" i="1"/>
  <c r="S19" i="1"/>
  <c r="U304" i="1"/>
  <c r="P22" i="1"/>
  <c r="T691" i="1"/>
  <c r="U691" i="1"/>
  <c r="O357" i="1"/>
  <c r="P357" i="1"/>
  <c r="O334" i="1"/>
  <c r="U73" i="1"/>
  <c r="T73" i="1"/>
  <c r="U95" i="1"/>
  <c r="P158" i="1"/>
  <c r="P283" i="1"/>
  <c r="P187" i="1"/>
  <c r="O25" i="1"/>
  <c r="O283" i="1"/>
  <c r="T187" i="1"/>
  <c r="N19" i="1"/>
  <c r="M19" i="1"/>
  <c r="P21" i="1"/>
  <c r="O22" i="1"/>
  <c r="T21" i="1"/>
  <c r="Q19" i="1"/>
  <c r="O21" i="1"/>
  <c r="O20" i="1"/>
  <c r="L19" i="1"/>
  <c r="R19" i="1"/>
  <c r="U20" i="1"/>
  <c r="U19" i="15" l="1"/>
  <c r="T19" i="15"/>
  <c r="O41" i="14"/>
  <c r="P41" i="14"/>
  <c r="O41" i="13"/>
  <c r="P41" i="13"/>
  <c r="P19" i="13"/>
  <c r="P41" i="10"/>
  <c r="O41" i="10"/>
  <c r="T19" i="9"/>
  <c r="U19" i="9"/>
  <c r="P41" i="5"/>
  <c r="O41" i="5"/>
  <c r="O41" i="6"/>
  <c r="P41" i="6"/>
  <c r="O41" i="4"/>
  <c r="P41" i="4"/>
  <c r="O41" i="3"/>
  <c r="P41" i="3"/>
  <c r="U19" i="1"/>
  <c r="P19" i="1"/>
  <c r="T19" i="1"/>
  <c r="O19" i="1"/>
</calcChain>
</file>

<file path=xl/sharedStrings.xml><?xml version="1.0" encoding="utf-8"?>
<sst xmlns="http://schemas.openxmlformats.org/spreadsheetml/2006/main" count="19708" uniqueCount="328">
  <si>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</si>
  <si>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</si>
  <si>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</si>
  <si>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</si>
  <si>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</si>
  <si>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</si>
  <si>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</si>
  <si>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</si>
  <si>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</si>
  <si>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</si>
  <si>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</si>
  <si>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</si>
  <si>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</si>
  <si>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</si>
  <si>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</si>
  <si>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</si>
  <si>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</si>
  <si>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</si>
  <si>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</si>
  <si>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</si>
  <si>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</si>
  <si>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</si>
  <si>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</si>
  <si>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</si>
  <si>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</si>
  <si>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</si>
  <si>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</si>
  <si>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</si>
  <si>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</si>
  <si>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</si>
  <si>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</si>
  <si>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</si>
  <si>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</si>
  <si>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</si>
  <si>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</si>
  <si>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</si>
  <si>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</si>
  <si>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</si>
  <si>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</si>
  <si>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</si>
  <si>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</si>
  <si>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</si>
  <si>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</si>
  <si>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</si>
  <si>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</si>
  <si>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</si>
  <si>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</si>
  <si>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</si>
  <si>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</si>
  <si>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</si>
  <si>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</si>
  <si>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</si>
  <si>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</si>
  <si>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</si>
  <si>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</si>
  <si>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</si>
  <si>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</si>
  <si>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</si>
  <si>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</si>
  <si>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</si>
  <si>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</si>
  <si>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</si>
  <si>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</si>
  <si>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</si>
  <si>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</si>
  <si>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</si>
  <si>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</si>
  <si>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</si>
  <si>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</si>
  <si>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</si>
  <si>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</si>
  <si>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</si>
  <si>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</si>
  <si>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</si>
  <si>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</si>
  <si>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</si>
  <si>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</si>
  <si>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</si>
  <si>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</si>
  <si>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</si>
  <si>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</si>
  <si>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</si>
  <si>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</si>
  <si>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</si>
  <si>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</si>
  <si>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</si>
  <si>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</si>
  <si>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</si>
  <si>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</si>
  <si>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</si>
  <si>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</si>
  <si>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</si>
  <si>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</si>
  <si>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</si>
  <si>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</si>
  <si>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</si>
  <si>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</si>
  <si>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</si>
  <si>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</si>
  <si>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</si>
  <si>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</si>
  <si>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</si>
  <si>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</si>
  <si>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</si>
  <si>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</si>
  <si>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</si>
  <si>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</si>
  <si>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</si>
  <si>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</si>
  <si>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</si>
  <si>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</si>
  <si>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</si>
  <si>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</si>
  <si>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</si>
  <si>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</si>
  <si>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</si>
  <si>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</si>
  <si>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</si>
  <si>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</si>
  <si>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</si>
  <si>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</si>
  <si>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</si>
  <si>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</si>
  <si>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</si>
  <si>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</si>
  <si>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</si>
  <si>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</si>
  <si>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</si>
  <si>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</si>
  <si>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</si>
  <si>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</si>
  <si>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</si>
  <si>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</si>
  <si>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</si>
  <si>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</si>
  <si>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</si>
  <si>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</si>
  <si>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</si>
  <si>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</si>
  <si>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</si>
  <si>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</si>
  <si>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</si>
  <si>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</si>
  <si>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</si>
  <si>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</si>
  <si>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</si>
  <si>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</si>
  <si>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</si>
  <si>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</si>
  <si>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</si>
  <si>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</si>
  <si>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</si>
  <si>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</si>
  <si>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</si>
  <si>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</si>
  <si>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</si>
  <si>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</si>
  <si>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</si>
  <si>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</si>
  <si>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</si>
  <si>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</si>
  <si>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</si>
  <si>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</si>
  <si>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</si>
  <si>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</si>
  <si>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</si>
  <si>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</si>
  <si>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</si>
  <si>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</si>
  <si>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</si>
  <si>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</si>
  <si>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</si>
  <si>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</si>
  <si>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</si>
  <si>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</si>
  <si>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</si>
  <si>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</si>
  <si>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</si>
  <si>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</si>
  <si>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</si>
  <si>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</si>
  <si>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</si>
  <si>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</si>
  <si>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</si>
  <si>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</si>
  <si>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</si>
  <si>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</si>
  <si>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</si>
  <si>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</si>
  <si>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</si>
  <si>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</si>
  <si>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</si>
  <si>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</si>
  <si>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</si>
  <si>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</si>
  <si>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</si>
  <si>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</si>
  <si>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</si>
  <si>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</si>
  <si>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</si>
  <si>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</si>
  <si>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</si>
  <si>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</si>
  <si>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</si>
  <si>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</si>
  <si>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</si>
  <si>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</si>
  <si>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</si>
  <si>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</si>
  <si>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</si>
  <si>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</si>
  <si>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</si>
  <si>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</si>
  <si>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</si>
  <si>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</si>
  <si>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</si>
  <si>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</si>
  <si>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</si>
  <si>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</si>
  <si>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</si>
  <si>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</si>
  <si>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</si>
  <si>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</si>
  <si>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</si>
  <si>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</si>
  <si>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</si>
  <si>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</si>
  <si>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</si>
  <si>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</si>
  <si>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</si>
  <si>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</si>
  <si>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</si>
  <si>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</si>
  <si>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</si>
  <si>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</si>
  <si>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</si>
  <si>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</si>
  <si>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</si>
  <si>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</si>
  <si>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</si>
  <si>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</si>
  <si>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</si>
  <si>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</si>
  <si>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</si>
  <si>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</si>
  <si>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</si>
  <si>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</si>
  <si>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</si>
  <si>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</si>
  <si>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</si>
  <si>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</si>
  <si>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</si>
  <si>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</si>
  <si>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</si>
  <si>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</si>
  <si>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</si>
  <si>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</si>
  <si>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</si>
  <si>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</si>
  <si>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</si>
  <si>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</si>
  <si>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</si>
  <si>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</si>
  <si>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</si>
  <si>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</si>
  <si>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</si>
  <si>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</si>
  <si>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</si>
  <si>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</si>
  <si>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</si>
  <si>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</si>
  <si>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</si>
  <si>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</si>
  <si>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</si>
  <si>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</si>
  <si>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</si>
  <si>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</si>
  <si>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</si>
  <si>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</si>
  <si>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</si>
  <si>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</si>
  <si>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</si>
  <si>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</si>
  <si>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</si>
  <si>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</si>
  <si>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</si>
  <si>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</si>
  <si>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</si>
  <si>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</si>
  <si>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</si>
  <si>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</si>
  <si>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</si>
  <si>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</si>
  <si>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</si>
  <si>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</si>
  <si>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</si>
  <si>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</si>
  <si>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t>สำนักงานการปฏิรูปที่ดินจังหวัด กระบี่</t>
  </si>
  <si>
    <t>รวม งบประมาณ</t>
  </si>
  <si>
    <t>- งบบริหารโครงการ</t>
  </si>
  <si>
    <t>- ค่าจ้างเหมาบริการ</t>
  </si>
  <si>
    <t>- ค่าใช้จ่ายในการบริหารงาน</t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</si>
  <si>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</si>
  <si>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</si>
  <si>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</si>
  <si>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</si>
  <si>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</si>
  <si>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</si>
  <si>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</si>
  <si>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</si>
  <si>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</si>
  <si>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</si>
  <si>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</si>
  <si>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</si>
  <si>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</si>
  <si>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</si>
  <si>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</si>
  <si>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- แล้วเสร็จ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</si>
  <si>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</si>
  <si>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</si>
  <si>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</si>
  <si>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</si>
  <si>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</si>
  <si>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</si>
  <si>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</si>
  <si>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</si>
  <si>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</si>
  <si>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31 มีนาคม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</si>
</sst>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????_-;_-@"/>
    <numFmt numFmtId="193" formatCode="_-* #,##0.00_-;\-* #,##0.00_-;_-* &quot;-&quot;_-;_-@"/>
  </numFmts>
  <fonts count="45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theme="1"/>
      <name val="Arial"/>
      <scheme val="minor"/>
    </font>
    <font>
      <sz val="10"/>
      <color rgb="FFFF0000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06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>
      <alignment horizontal="right"/>
    </xf>
    <xf numFmtId="188" fontId="2" fillId="2" borderId="1" xfId="0" applyNumberFormat="1" applyFont="1" applyFill="1" applyBorder="1" applyAlignment="1"/>
    <xf numFmtId="189" fontId="2" fillId="2" borderId="2" xfId="0" applyNumberFormat="1" applyFont="1" applyFill="1" applyBorder="1" applyAlignment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 applyAlignment="1"/>
    <xf numFmtId="189" fontId="5" fillId="6" borderId="2" xfId="0" applyNumberFormat="1" applyFont="1" applyFill="1" applyBorder="1" applyAlignment="1">
      <alignment horizontal="center"/>
    </xf>
    <xf numFmtId="188" fontId="5" fillId="6" borderId="2" xfId="0" applyNumberFormat="1" applyFont="1" applyFill="1" applyBorder="1" applyAlignment="1">
      <alignment horizontal="center" wrapText="1"/>
    </xf>
    <xf numFmtId="189" fontId="5" fillId="7" borderId="2" xfId="0" applyNumberFormat="1" applyFont="1" applyFill="1" applyBorder="1" applyAlignment="1">
      <alignment horizontal="center" wrapText="1"/>
    </xf>
    <xf numFmtId="189" fontId="5" fillId="9" borderId="2" xfId="0" applyNumberFormat="1" applyFont="1" applyFill="1" applyBorder="1" applyAlignment="1">
      <alignment horizontal="center" wrapText="1"/>
    </xf>
    <xf numFmtId="189" fontId="5" fillId="8" borderId="2" xfId="0" applyNumberFormat="1" applyFont="1" applyFill="1" applyBorder="1" applyAlignment="1">
      <alignment horizontal="center"/>
    </xf>
    <xf numFmtId="0" fontId="2" fillId="10" borderId="7" xfId="0" applyFont="1" applyFill="1" applyBorder="1" applyAlignment="1"/>
    <xf numFmtId="0" fontId="2" fillId="10" borderId="2" xfId="0" applyFont="1" applyFill="1" applyBorder="1" applyAlignment="1"/>
    <xf numFmtId="187" fontId="2" fillId="10" borderId="2" xfId="0" applyNumberFormat="1" applyFont="1" applyFill="1" applyBorder="1" applyAlignment="1"/>
    <xf numFmtId="189" fontId="2" fillId="10" borderId="2" xfId="0" applyNumberFormat="1" applyFont="1" applyFill="1" applyBorder="1" applyAlignment="1"/>
    <xf numFmtId="0" fontId="2" fillId="10" borderId="8" xfId="0" applyFont="1" applyFill="1" applyBorder="1" applyAlignment="1"/>
    <xf numFmtId="0" fontId="2" fillId="10" borderId="9" xfId="0" applyFont="1" applyFill="1" applyBorder="1" applyAlignment="1"/>
    <xf numFmtId="0" fontId="2" fillId="10" borderId="10" xfId="0" applyFont="1" applyFill="1" applyBorder="1" applyAlignment="1"/>
    <xf numFmtId="187" fontId="2" fillId="10" borderId="10" xfId="0" applyNumberFormat="1" applyFont="1" applyFill="1" applyBorder="1" applyAlignment="1"/>
    <xf numFmtId="189" fontId="2" fillId="10" borderId="10" xfId="0" applyNumberFormat="1" applyFont="1" applyFill="1" applyBorder="1" applyAlignment="1"/>
    <xf numFmtId="0" fontId="2" fillId="10" borderId="1" xfId="0" applyFont="1" applyFill="1" applyBorder="1" applyAlignment="1"/>
    <xf numFmtId="0" fontId="2" fillId="11" borderId="2" xfId="0" applyFont="1" applyFill="1" applyBorder="1" applyAlignment="1"/>
    <xf numFmtId="187" fontId="2" fillId="11" borderId="2" xfId="0" applyNumberFormat="1" applyFont="1" applyFill="1" applyBorder="1" applyAlignment="1"/>
    <xf numFmtId="189" fontId="2" fillId="11" borderId="2" xfId="0" applyNumberFormat="1" applyFont="1" applyFill="1" applyBorder="1" applyAlignment="1"/>
    <xf numFmtId="0" fontId="2" fillId="12" borderId="8" xfId="0" applyFont="1" applyFill="1" applyBorder="1" applyAlignment="1"/>
    <xf numFmtId="0" fontId="2" fillId="12" borderId="9" xfId="0" applyFont="1" applyFill="1" applyBorder="1" applyAlignment="1"/>
    <xf numFmtId="0" fontId="5" fillId="12" borderId="9" xfId="0" applyFont="1" applyFill="1" applyBorder="1" applyAlignment="1"/>
    <xf numFmtId="0" fontId="6" fillId="12" borderId="9" xfId="0" applyFont="1" applyFill="1" applyBorder="1" applyAlignment="1"/>
    <xf numFmtId="0" fontId="2" fillId="12" borderId="10" xfId="0" applyFont="1" applyFill="1" applyBorder="1" applyAlignment="1"/>
    <xf numFmtId="0" fontId="5" fillId="12" borderId="10" xfId="0" applyFont="1" applyFill="1" applyBorder="1" applyAlignment="1">
      <alignment horizontal="center"/>
    </xf>
    <xf numFmtId="187" fontId="2" fillId="12" borderId="10" xfId="0" applyNumberFormat="1" applyFont="1" applyFill="1" applyBorder="1" applyAlignment="1"/>
    <xf numFmtId="189" fontId="2" fillId="12" borderId="10" xfId="0" applyNumberFormat="1" applyFont="1" applyFill="1" applyBorder="1" applyAlignment="1"/>
    <xf numFmtId="189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 applyAlignment="1"/>
    <xf numFmtId="0" fontId="7" fillId="12" borderId="10" xfId="0" applyFont="1" applyFill="1" applyBorder="1" applyAlignment="1">
      <alignment horizontal="center"/>
    </xf>
    <xf numFmtId="189" fontId="8" fillId="12" borderId="10" xfId="0" applyNumberFormat="1" applyFont="1" applyFill="1" applyBorder="1" applyAlignment="1">
      <alignment horizontal="right"/>
    </xf>
    <xf numFmtId="189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0" fontId="2" fillId="2" borderId="9" xfId="0" applyFont="1" applyFill="1" applyBorder="1" applyAlignment="1"/>
    <xf numFmtId="0" fontId="9" fillId="2" borderId="9" xfId="0" applyFont="1" applyFill="1" applyBorder="1" applyAlignment="1"/>
    <xf numFmtId="0" fontId="2" fillId="2" borderId="10" xfId="0" applyFont="1" applyFill="1" applyBorder="1" applyAlignment="1"/>
    <xf numFmtId="0" fontId="7" fillId="2" borderId="10" xfId="0" applyFont="1" applyFill="1" applyBorder="1" applyAlignment="1">
      <alignment horizontal="center"/>
    </xf>
    <xf numFmtId="187" fontId="2" fillId="2" borderId="10" xfId="0" applyNumberFormat="1" applyFont="1" applyFill="1" applyBorder="1" applyAlignment="1"/>
    <xf numFmtId="189" fontId="2" fillId="2" borderId="10" xfId="0" applyNumberFormat="1" applyFont="1" applyFill="1" applyBorder="1" applyAlignment="1"/>
    <xf numFmtId="189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 applyAlignment="1"/>
    <xf numFmtId="189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 applyAlignment="1"/>
    <xf numFmtId="0" fontId="2" fillId="2" borderId="7" xfId="0" applyFont="1" applyFill="1" applyBorder="1" applyAlignment="1"/>
    <xf numFmtId="0" fontId="7" fillId="2" borderId="1" xfId="0" applyFont="1" applyFill="1" applyBorder="1" applyAlignment="1"/>
    <xf numFmtId="0" fontId="2" fillId="2" borderId="2" xfId="0" applyFont="1" applyFill="1" applyBorder="1" applyAlignment="1"/>
    <xf numFmtId="0" fontId="7" fillId="2" borderId="2" xfId="0" applyFont="1" applyFill="1" applyBorder="1" applyAlignment="1">
      <alignment horizontal="center"/>
    </xf>
    <xf numFmtId="187" fontId="2" fillId="2" borderId="2" xfId="0" applyNumberFormat="1" applyFont="1" applyFill="1" applyBorder="1" applyAlignment="1"/>
    <xf numFmtId="0" fontId="5" fillId="13" borderId="7" xfId="0" applyFont="1" applyFill="1" applyBorder="1" applyAlignment="1"/>
    <xf numFmtId="0" fontId="2" fillId="13" borderId="1" xfId="0" applyFont="1" applyFill="1" applyBorder="1" applyAlignment="1"/>
    <xf numFmtId="0" fontId="2" fillId="13" borderId="2" xfId="0" applyFont="1" applyFill="1" applyBorder="1" applyAlignment="1"/>
    <xf numFmtId="187" fontId="2" fillId="13" borderId="2" xfId="0" applyNumberFormat="1" applyFont="1" applyFill="1" applyBorder="1" applyAlignment="1"/>
    <xf numFmtId="189" fontId="2" fillId="13" borderId="2" xfId="0" applyNumberFormat="1" applyFont="1" applyFill="1" applyBorder="1" applyAlignment="1"/>
    <xf numFmtId="0" fontId="5" fillId="14" borderId="7" xfId="0" applyFont="1" applyFill="1" applyBorder="1" applyAlignment="1"/>
    <xf numFmtId="0" fontId="2" fillId="14" borderId="1" xfId="0" applyFont="1" applyFill="1" applyBorder="1" applyAlignment="1"/>
    <xf numFmtId="187" fontId="2" fillId="14" borderId="1" xfId="0" applyNumberFormat="1" applyFont="1" applyFill="1" applyBorder="1" applyAlignment="1"/>
    <xf numFmtId="189" fontId="2" fillId="14" borderId="1" xfId="0" applyNumberFormat="1" applyFont="1" applyFill="1" applyBorder="1" applyAlignment="1"/>
    <xf numFmtId="189" fontId="2" fillId="14" borderId="2" xfId="0" applyNumberFormat="1" applyFont="1" applyFill="1" applyBorder="1" applyAlignment="1"/>
    <xf numFmtId="0" fontId="2" fillId="15" borderId="9" xfId="0" applyFont="1" applyFill="1" applyBorder="1" applyAlignment="1"/>
    <xf numFmtId="0" fontId="5" fillId="15" borderId="9" xfId="0" applyFont="1" applyFill="1" applyBorder="1" applyAlignment="1"/>
    <xf numFmtId="0" fontId="2" fillId="15" borderId="10" xfId="0" applyFont="1" applyFill="1" applyBorder="1" applyAlignment="1"/>
    <xf numFmtId="187" fontId="2" fillId="15" borderId="10" xfId="0" applyNumberFormat="1" applyFont="1" applyFill="1" applyBorder="1" applyAlignment="1"/>
    <xf numFmtId="189" fontId="2" fillId="15" borderId="10" xfId="0" applyNumberFormat="1" applyFont="1" applyFill="1" applyBorder="1" applyAlignment="1"/>
    <xf numFmtId="0" fontId="2" fillId="16" borderId="8" xfId="0" applyFont="1" applyFill="1" applyBorder="1" applyAlignment="1"/>
    <xf numFmtId="0" fontId="2" fillId="16" borderId="9" xfId="0" applyFont="1" applyFill="1" applyBorder="1" applyAlignment="1"/>
    <xf numFmtId="0" fontId="5" fillId="16" borderId="9" xfId="0" applyFont="1" applyFill="1" applyBorder="1" applyAlignment="1"/>
    <xf numFmtId="0" fontId="11" fillId="16" borderId="9" xfId="0" applyFont="1" applyFill="1" applyBorder="1" applyAlignment="1"/>
    <xf numFmtId="0" fontId="2" fillId="16" borderId="10" xfId="0" applyFont="1" applyFill="1" applyBorder="1" applyAlignment="1"/>
    <xf numFmtId="0" fontId="5" fillId="16" borderId="10" xfId="0" applyFont="1" applyFill="1" applyBorder="1" applyAlignment="1">
      <alignment horizontal="center"/>
    </xf>
    <xf numFmtId="187" fontId="2" fillId="16" borderId="10" xfId="0" applyNumberFormat="1" applyFont="1" applyFill="1" applyBorder="1" applyAlignment="1"/>
    <xf numFmtId="189" fontId="2" fillId="16" borderId="10" xfId="0" applyNumberFormat="1" applyFont="1" applyFill="1" applyBorder="1" applyAlignment="1"/>
    <xf numFmtId="189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 applyAlignment="1"/>
    <xf numFmtId="0" fontId="7" fillId="16" borderId="10" xfId="0" applyFont="1" applyFill="1" applyBorder="1" applyAlignment="1">
      <alignment horizontal="center"/>
    </xf>
    <xf numFmtId="189" fontId="8" fillId="16" borderId="10" xfId="0" applyNumberFormat="1" applyFont="1" applyFill="1" applyBorder="1" applyAlignment="1">
      <alignment horizontal="right"/>
    </xf>
    <xf numFmtId="189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 applyAlignment="1"/>
    <xf numFmtId="187" fontId="2" fillId="17" borderId="1" xfId="0" applyNumberFormat="1" applyFont="1" applyFill="1" applyBorder="1" applyAlignment="1"/>
    <xf numFmtId="189" fontId="2" fillId="17" borderId="1" xfId="0" applyNumberFormat="1" applyFont="1" applyFill="1" applyBorder="1" applyAlignment="1"/>
    <xf numFmtId="189" fontId="2" fillId="17" borderId="2" xfId="0" applyNumberFormat="1" applyFont="1" applyFill="1" applyBorder="1" applyAlignment="1"/>
    <xf numFmtId="0" fontId="2" fillId="18" borderId="8" xfId="0" applyFont="1" applyFill="1" applyBorder="1" applyAlignment="1"/>
    <xf numFmtId="0" fontId="2" fillId="18" borderId="10" xfId="0" applyFont="1" applyFill="1" applyBorder="1" applyAlignment="1"/>
    <xf numFmtId="187" fontId="2" fillId="18" borderId="10" xfId="0" applyNumberFormat="1" applyFont="1" applyFill="1" applyBorder="1" applyAlignment="1"/>
    <xf numFmtId="189" fontId="2" fillId="18" borderId="10" xfId="0" applyNumberFormat="1" applyFont="1" applyFill="1" applyBorder="1" applyAlignment="1"/>
    <xf numFmtId="0" fontId="2" fillId="19" borderId="8" xfId="0" applyFont="1" applyFill="1" applyBorder="1" applyAlignment="1"/>
    <xf numFmtId="0" fontId="5" fillId="19" borderId="9" xfId="0" applyFont="1" applyFill="1" applyBorder="1" applyAlignment="1"/>
    <xf numFmtId="0" fontId="2" fillId="19" borderId="9" xfId="0" applyFont="1" applyFill="1" applyBorder="1" applyAlignment="1"/>
    <xf numFmtId="0" fontId="2" fillId="19" borderId="10" xfId="0" applyFont="1" applyFill="1" applyBorder="1" applyAlignment="1"/>
    <xf numFmtId="187" fontId="2" fillId="19" borderId="10" xfId="0" applyNumberFormat="1" applyFont="1" applyFill="1" applyBorder="1" applyAlignment="1"/>
    <xf numFmtId="189" fontId="2" fillId="19" borderId="10" xfId="0" applyNumberFormat="1" applyFont="1" applyFill="1" applyBorder="1" applyAlignment="1"/>
    <xf numFmtId="0" fontId="2" fillId="20" borderId="8" xfId="0" applyFont="1" applyFill="1" applyBorder="1" applyAlignment="1"/>
    <xf numFmtId="0" fontId="2" fillId="20" borderId="9" xfId="0" applyFont="1" applyFill="1" applyBorder="1" applyAlignment="1"/>
    <xf numFmtId="0" fontId="5" fillId="20" borderId="9" xfId="0" applyFont="1" applyFill="1" applyBorder="1" applyAlignment="1"/>
    <xf numFmtId="0" fontId="12" fillId="20" borderId="9" xfId="0" applyFont="1" applyFill="1" applyBorder="1" applyAlignment="1"/>
    <xf numFmtId="0" fontId="2" fillId="20" borderId="10" xfId="0" applyFont="1" applyFill="1" applyBorder="1" applyAlignment="1"/>
    <xf numFmtId="0" fontId="5" fillId="20" borderId="10" xfId="0" applyFont="1" applyFill="1" applyBorder="1" applyAlignment="1">
      <alignment horizontal="center"/>
    </xf>
    <xf numFmtId="187" fontId="2" fillId="20" borderId="10" xfId="0" applyNumberFormat="1" applyFont="1" applyFill="1" applyBorder="1" applyAlignment="1"/>
    <xf numFmtId="189" fontId="2" fillId="20" borderId="10" xfId="0" applyNumberFormat="1" applyFont="1" applyFill="1" applyBorder="1" applyAlignment="1"/>
    <xf numFmtId="189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 applyAlignment="1"/>
    <xf numFmtId="0" fontId="7" fillId="20" borderId="10" xfId="0" applyFont="1" applyFill="1" applyBorder="1" applyAlignment="1">
      <alignment horizontal="center"/>
    </xf>
    <xf numFmtId="189" fontId="7" fillId="20" borderId="10" xfId="0" applyNumberFormat="1" applyFont="1" applyFill="1" applyBorder="1" applyAlignment="1">
      <alignment horizontal="right"/>
    </xf>
    <xf numFmtId="189" fontId="8" fillId="20" borderId="10" xfId="0" applyNumberFormat="1" applyFont="1" applyFill="1" applyBorder="1" applyAlignment="1">
      <alignment horizontal="right"/>
    </xf>
    <xf numFmtId="189" fontId="7" fillId="2" borderId="2" xfId="0" applyNumberFormat="1" applyFont="1" applyFill="1" applyBorder="1" applyAlignment="1">
      <alignment horizontal="right"/>
    </xf>
    <xf numFmtId="188" fontId="5" fillId="21" borderId="7" xfId="0" applyNumberFormat="1" applyFont="1" applyFill="1" applyBorder="1" applyAlignment="1"/>
    <xf numFmtId="188" fontId="2" fillId="21" borderId="1" xfId="0" applyNumberFormat="1" applyFont="1" applyFill="1" applyBorder="1" applyAlignment="1"/>
    <xf numFmtId="0" fontId="2" fillId="21" borderId="1" xfId="0" applyFont="1" applyFill="1" applyBorder="1" applyAlignment="1"/>
    <xf numFmtId="187" fontId="2" fillId="21" borderId="1" xfId="0" applyNumberFormat="1" applyFont="1" applyFill="1" applyBorder="1" applyAlignment="1"/>
    <xf numFmtId="189" fontId="2" fillId="21" borderId="1" xfId="0" applyNumberFormat="1" applyFont="1" applyFill="1" applyBorder="1" applyAlignment="1"/>
    <xf numFmtId="189" fontId="2" fillId="21" borderId="2" xfId="0" applyNumberFormat="1" applyFont="1" applyFill="1" applyBorder="1" applyAlignment="1"/>
    <xf numFmtId="188" fontId="5" fillId="22" borderId="8" xfId="0" applyNumberFormat="1" applyFont="1" applyFill="1" applyBorder="1" applyAlignment="1"/>
    <xf numFmtId="0" fontId="2" fillId="22" borderId="9" xfId="0" applyFont="1" applyFill="1" applyBorder="1" applyAlignment="1"/>
    <xf numFmtId="188" fontId="2" fillId="22" borderId="9" xfId="0" applyNumberFormat="1" applyFont="1" applyFill="1" applyBorder="1" applyAlignment="1"/>
    <xf numFmtId="0" fontId="2" fillId="22" borderId="10" xfId="0" applyFont="1" applyFill="1" applyBorder="1" applyAlignment="1"/>
    <xf numFmtId="187" fontId="2" fillId="22" borderId="10" xfId="0" applyNumberFormat="1" applyFont="1" applyFill="1" applyBorder="1" applyAlignment="1"/>
    <xf numFmtId="189" fontId="2" fillId="22" borderId="10" xfId="0" applyNumberFormat="1" applyFont="1" applyFill="1" applyBorder="1" applyAlignment="1"/>
    <xf numFmtId="190" fontId="2" fillId="12" borderId="8" xfId="0" applyNumberFormat="1" applyFont="1" applyFill="1" applyBorder="1" applyAlignment="1"/>
    <xf numFmtId="0" fontId="5" fillId="12" borderId="9" xfId="0" applyFont="1" applyFill="1" applyBorder="1" applyAlignment="1"/>
    <xf numFmtId="188" fontId="2" fillId="12" borderId="9" xfId="0" applyNumberFormat="1" applyFont="1" applyFill="1" applyBorder="1" applyAlignment="1"/>
    <xf numFmtId="0" fontId="5" fillId="12" borderId="10" xfId="0" applyFont="1" applyFill="1" applyBorder="1" applyAlignment="1">
      <alignment horizontal="center" wrapText="1"/>
    </xf>
    <xf numFmtId="187" fontId="5" fillId="12" borderId="10" xfId="0" applyNumberFormat="1" applyFont="1" applyFill="1" applyBorder="1" applyAlignment="1">
      <alignment horizontal="right"/>
    </xf>
    <xf numFmtId="190" fontId="2" fillId="2" borderId="8" xfId="0" applyNumberFormat="1" applyFont="1" applyFill="1" applyBorder="1" applyAlignment="1"/>
    <xf numFmtId="0" fontId="5" fillId="2" borderId="9" xfId="0" applyFont="1" applyFill="1" applyBorder="1" applyAlignment="1"/>
    <xf numFmtId="0" fontId="13" fillId="2" borderId="9" xfId="0" applyFont="1" applyFill="1" applyBorder="1" applyAlignment="1"/>
    <xf numFmtId="188" fontId="5" fillId="2" borderId="10" xfId="0" applyNumberFormat="1" applyFont="1" applyFill="1" applyBorder="1" applyAlignment="1">
      <alignment horizontal="center"/>
    </xf>
    <xf numFmtId="189" fontId="5" fillId="2" borderId="10" xfId="0" applyNumberFormat="1" applyFont="1" applyFill="1" applyBorder="1" applyAlignment="1">
      <alignment horizontal="right"/>
    </xf>
    <xf numFmtId="188" fontId="7" fillId="2" borderId="10" xfId="0" applyNumberFormat="1" applyFont="1" applyFill="1" applyBorder="1" applyAlignment="1">
      <alignment horizontal="center"/>
    </xf>
    <xf numFmtId="188" fontId="7" fillId="0" borderId="10" xfId="0" applyNumberFormat="1" applyFont="1" applyBorder="1" applyAlignment="1">
      <alignment horizontal="center" wrapText="1"/>
    </xf>
    <xf numFmtId="187" fontId="2" fillId="0" borderId="10" xfId="0" applyNumberFormat="1" applyFont="1" applyBorder="1" applyAlignment="1"/>
    <xf numFmtId="189" fontId="2" fillId="0" borderId="10" xfId="0" applyNumberFormat="1" applyFont="1" applyBorder="1" applyAlignment="1"/>
    <xf numFmtId="188" fontId="7" fillId="0" borderId="10" xfId="0" applyNumberFormat="1" applyFont="1" applyBorder="1" applyAlignment="1">
      <alignment horizontal="center"/>
    </xf>
    <xf numFmtId="188" fontId="2" fillId="0" borderId="8" xfId="0" applyNumberFormat="1" applyFont="1" applyBorder="1" applyAlignment="1"/>
    <xf numFmtId="188" fontId="2" fillId="0" borderId="9" xfId="0" applyNumberFormat="1" applyFont="1" applyBorder="1" applyAlignment="1"/>
    <xf numFmtId="0" fontId="14" fillId="23" borderId="9" xfId="0" quotePrefix="1" applyFont="1" applyFill="1" applyBorder="1" applyAlignment="1"/>
    <xf numFmtId="0" fontId="2" fillId="23" borderId="9" xfId="0" applyFont="1" applyFill="1" applyBorder="1" applyAlignment="1"/>
    <xf numFmtId="0" fontId="2" fillId="23" borderId="10" xfId="0" applyFont="1" applyFill="1" applyBorder="1" applyAlignment="1"/>
    <xf numFmtId="0" fontId="2" fillId="0" borderId="10" xfId="0" applyFont="1" applyBorder="1" applyAlignment="1"/>
    <xf numFmtId="0" fontId="7" fillId="0" borderId="9" xfId="0" quotePrefix="1" applyFont="1" applyBorder="1" applyAlignment="1"/>
    <xf numFmtId="0" fontId="2" fillId="0" borderId="9" xfId="0" applyFont="1" applyBorder="1" applyAlignment="1"/>
    <xf numFmtId="0" fontId="5" fillId="0" borderId="10" xfId="0" applyFont="1" applyBorder="1" applyAlignment="1">
      <alignment horizontal="center" wrapText="1"/>
    </xf>
    <xf numFmtId="187" fontId="5" fillId="2" borderId="10" xfId="0" applyNumberFormat="1" applyFont="1" applyFill="1" applyBorder="1" applyAlignment="1">
      <alignment horizontal="right"/>
    </xf>
    <xf numFmtId="189" fontId="5" fillId="0" borderId="10" xfId="0" applyNumberFormat="1" applyFont="1" applyBorder="1" applyAlignment="1">
      <alignment horizontal="right"/>
    </xf>
    <xf numFmtId="0" fontId="7" fillId="0" borderId="9" xfId="0" applyFont="1" applyBorder="1" applyAlignment="1"/>
    <xf numFmtId="0" fontId="7" fillId="0" borderId="10" xfId="0" applyFont="1" applyBorder="1" applyAlignment="1">
      <alignment horizontal="center"/>
    </xf>
    <xf numFmtId="187" fontId="7" fillId="0" borderId="10" xfId="0" applyNumberFormat="1" applyFont="1" applyBorder="1" applyAlignment="1">
      <alignment horizontal="right"/>
    </xf>
    <xf numFmtId="187" fontId="7" fillId="2" borderId="10" xfId="0" applyNumberFormat="1" applyFont="1" applyFill="1" applyBorder="1" applyAlignment="1">
      <alignment horizontal="right"/>
    </xf>
    <xf numFmtId="189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88" fontId="2" fillId="22" borderId="10" xfId="0" applyNumberFormat="1" applyFont="1" applyFill="1" applyBorder="1" applyAlignment="1"/>
    <xf numFmtId="188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 applyAlignment="1"/>
    <xf numFmtId="188" fontId="8" fillId="2" borderId="10" xfId="0" applyNumberFormat="1" applyFont="1" applyFill="1" applyBorder="1" applyAlignment="1">
      <alignment horizontal="center"/>
    </xf>
    <xf numFmtId="188" fontId="2" fillId="2" borderId="9" xfId="0" applyNumberFormat="1" applyFont="1" applyFill="1" applyBorder="1" applyAlignment="1"/>
    <xf numFmtId="188" fontId="8" fillId="0" borderId="10" xfId="0" applyNumberFormat="1" applyFont="1" applyBorder="1" applyAlignment="1">
      <alignment horizontal="center" wrapText="1"/>
    </xf>
    <xf numFmtId="188" fontId="15" fillId="2" borderId="9" xfId="0" applyNumberFormat="1" applyFont="1" applyFill="1" applyBorder="1" applyAlignment="1"/>
    <xf numFmtId="188" fontId="5" fillId="2" borderId="9" xfId="0" applyNumberFormat="1" applyFont="1" applyFill="1" applyBorder="1" applyAlignment="1"/>
    <xf numFmtId="188" fontId="2" fillId="10" borderId="8" xfId="0" applyNumberFormat="1" applyFont="1" applyFill="1" applyBorder="1" applyAlignment="1"/>
    <xf numFmtId="188" fontId="2" fillId="10" borderId="9" xfId="0" applyNumberFormat="1" applyFont="1" applyFill="1" applyBorder="1" applyAlignment="1"/>
    <xf numFmtId="0" fontId="5" fillId="0" borderId="9" xfId="0" applyFont="1" applyBorder="1" applyAlignment="1"/>
    <xf numFmtId="0" fontId="2" fillId="0" borderId="0" xfId="0" applyFont="1" applyAlignment="1"/>
    <xf numFmtId="0" fontId="7" fillId="0" borderId="9" xfId="0" applyFont="1" applyBorder="1" applyAlignment="1"/>
    <xf numFmtId="187" fontId="7" fillId="24" borderId="10" xfId="0" applyNumberFormat="1" applyFont="1" applyFill="1" applyBorder="1" applyAlignment="1">
      <alignment horizontal="right"/>
    </xf>
    <xf numFmtId="0" fontId="2" fillId="0" borderId="9" xfId="0" applyFont="1" applyBorder="1" applyAlignment="1"/>
    <xf numFmtId="188" fontId="2" fillId="0" borderId="11" xfId="0" applyNumberFormat="1" applyFont="1" applyBorder="1" applyAlignment="1"/>
    <xf numFmtId="188" fontId="2" fillId="0" borderId="12" xfId="0" applyNumberFormat="1" applyFont="1" applyBorder="1" applyAlignment="1"/>
    <xf numFmtId="188" fontId="7" fillId="0" borderId="12" xfId="0" applyNumberFormat="1" applyFont="1" applyBorder="1" applyAlignment="1"/>
    <xf numFmtId="0" fontId="2" fillId="0" borderId="12" xfId="0" applyFont="1" applyBorder="1" applyAlignment="1"/>
    <xf numFmtId="0" fontId="2" fillId="0" borderId="13" xfId="0" applyFont="1" applyBorder="1" applyAlignment="1"/>
    <xf numFmtId="0" fontId="7" fillId="0" borderId="13" xfId="0" applyFont="1" applyBorder="1" applyAlignment="1">
      <alignment horizontal="center"/>
    </xf>
    <xf numFmtId="187" fontId="7" fillId="0" borderId="13" xfId="0" applyNumberFormat="1" applyFont="1" applyBorder="1" applyAlignment="1">
      <alignment horizontal="right"/>
    </xf>
    <xf numFmtId="187" fontId="7" fillId="24" borderId="13" xfId="0" applyNumberFormat="1" applyFont="1" applyFill="1" applyBorder="1" applyAlignment="1">
      <alignment horizontal="right"/>
    </xf>
    <xf numFmtId="189" fontId="7" fillId="2" borderId="13" xfId="0" applyNumberFormat="1" applyFont="1" applyFill="1" applyBorder="1" applyAlignment="1">
      <alignment horizontal="right"/>
    </xf>
    <xf numFmtId="189" fontId="2" fillId="2" borderId="13" xfId="0" applyNumberFormat="1" applyFont="1" applyFill="1" applyBorder="1" applyAlignment="1"/>
    <xf numFmtId="189" fontId="2" fillId="0" borderId="13" xfId="0" applyNumberFormat="1" applyFont="1" applyBorder="1" applyAlignment="1"/>
    <xf numFmtId="190" fontId="2" fillId="22" borderId="9" xfId="0" applyNumberFormat="1" applyFont="1" applyFill="1" applyBorder="1" applyAlignment="1"/>
    <xf numFmtId="187" fontId="2" fillId="22" borderId="9" xfId="0" applyNumberFormat="1" applyFont="1" applyFill="1" applyBorder="1" applyAlignment="1"/>
    <xf numFmtId="189" fontId="2" fillId="22" borderId="9" xfId="0" applyNumberFormat="1" applyFont="1" applyFill="1" applyBorder="1" applyAlignment="1"/>
    <xf numFmtId="188" fontId="5" fillId="12" borderId="9" xfId="0" applyNumberFormat="1" applyFont="1" applyFill="1" applyBorder="1" applyAlignment="1"/>
    <xf numFmtId="190" fontId="2" fillId="12" borderId="9" xfId="0" applyNumberFormat="1" applyFont="1" applyFill="1" applyBorder="1" applyAlignment="1"/>
    <xf numFmtId="188" fontId="5" fillId="12" borderId="10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188" fontId="7" fillId="2" borderId="10" xfId="0" applyNumberFormat="1" applyFont="1" applyFill="1" applyBorder="1" applyAlignment="1">
      <alignment horizontal="center" wrapText="1"/>
    </xf>
    <xf numFmtId="188" fontId="8" fillId="2" borderId="10" xfId="0" applyNumberFormat="1" applyFont="1" applyFill="1" applyBorder="1" applyAlignment="1">
      <alignment horizontal="center" wrapText="1"/>
    </xf>
    <xf numFmtId="188" fontId="16" fillId="2" borderId="9" xfId="0" applyNumberFormat="1" applyFont="1" applyFill="1" applyBorder="1" applyAlignment="1">
      <alignment horizontal="center"/>
    </xf>
    <xf numFmtId="188" fontId="2" fillId="0" borderId="10" xfId="0" applyNumberFormat="1" applyFont="1" applyBorder="1" applyAlignment="1"/>
    <xf numFmtId="0" fontId="8" fillId="0" borderId="9" xfId="0" applyFont="1" applyBorder="1" applyAlignment="1"/>
    <xf numFmtId="188" fontId="2" fillId="2" borderId="10" xfId="0" applyNumberFormat="1" applyFont="1" applyFill="1" applyBorder="1" applyAlignment="1"/>
    <xf numFmtId="188" fontId="2" fillId="10" borderId="10" xfId="0" applyNumberFormat="1" applyFont="1" applyFill="1" applyBorder="1" applyAlignment="1"/>
    <xf numFmtId="187" fontId="2" fillId="12" borderId="9" xfId="0" applyNumberFormat="1" applyFont="1" applyFill="1" applyBorder="1" applyAlignment="1"/>
    <xf numFmtId="190" fontId="5" fillId="12" borderId="9" xfId="0" applyNumberFormat="1" applyFont="1" applyFill="1" applyBorder="1" applyAlignment="1"/>
    <xf numFmtId="0" fontId="5" fillId="12" borderId="10" xfId="0" applyFont="1" applyFill="1" applyBorder="1" applyAlignment="1">
      <alignment horizontal="center" wrapText="1"/>
    </xf>
    <xf numFmtId="0" fontId="5" fillId="2" borderId="9" xfId="0" applyFont="1" applyFill="1" applyBorder="1" applyAlignment="1"/>
    <xf numFmtId="0" fontId="2" fillId="2" borderId="9" xfId="0" applyFont="1" applyFill="1" applyBorder="1" applyAlignment="1"/>
    <xf numFmtId="0" fontId="7" fillId="2" borderId="9" xfId="0" applyFont="1" applyFill="1" applyBorder="1" applyAlignment="1"/>
    <xf numFmtId="190" fontId="2" fillId="2" borderId="7" xfId="0" applyNumberFormat="1" applyFont="1" applyFill="1" applyBorder="1" applyAlignment="1"/>
    <xf numFmtId="0" fontId="7" fillId="2" borderId="1" xfId="0" applyFont="1" applyFill="1" applyBorder="1" applyAlignment="1"/>
    <xf numFmtId="188" fontId="7" fillId="0" borderId="2" xfId="0" applyNumberFormat="1" applyFont="1" applyBorder="1" applyAlignment="1">
      <alignment horizontal="center"/>
    </xf>
    <xf numFmtId="187" fontId="7" fillId="2" borderId="2" xfId="0" applyNumberFormat="1" applyFont="1" applyFill="1" applyBorder="1" applyAlignment="1">
      <alignment horizontal="right"/>
    </xf>
    <xf numFmtId="188" fontId="5" fillId="9" borderId="7" xfId="0" applyNumberFormat="1" applyFont="1" applyFill="1" applyBorder="1" applyAlignment="1"/>
    <xf numFmtId="188" fontId="2" fillId="9" borderId="1" xfId="0" applyNumberFormat="1" applyFont="1" applyFill="1" applyBorder="1" applyAlignment="1"/>
    <xf numFmtId="0" fontId="2" fillId="9" borderId="1" xfId="0" applyFont="1" applyFill="1" applyBorder="1" applyAlignment="1"/>
    <xf numFmtId="187" fontId="2" fillId="9" borderId="1" xfId="0" applyNumberFormat="1" applyFont="1" applyFill="1" applyBorder="1" applyAlignment="1"/>
    <xf numFmtId="189" fontId="2" fillId="9" borderId="1" xfId="0" applyNumberFormat="1" applyFont="1" applyFill="1" applyBorder="1" applyAlignment="1"/>
    <xf numFmtId="189" fontId="2" fillId="9" borderId="2" xfId="0" applyNumberFormat="1" applyFont="1" applyFill="1" applyBorder="1" applyAlignment="1"/>
    <xf numFmtId="188" fontId="5" fillId="25" borderId="8" xfId="0" applyNumberFormat="1" applyFont="1" applyFill="1" applyBorder="1" applyAlignment="1"/>
    <xf numFmtId="188" fontId="2" fillId="25" borderId="9" xfId="0" applyNumberFormat="1" applyFont="1" applyFill="1" applyBorder="1" applyAlignment="1"/>
    <xf numFmtId="0" fontId="2" fillId="25" borderId="9" xfId="0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189" fontId="2" fillId="25" borderId="10" xfId="0" applyNumberFormat="1" applyFont="1" applyFill="1" applyBorder="1" applyAlignment="1"/>
    <xf numFmtId="188" fontId="2" fillId="23" borderId="8" xfId="0" applyNumberFormat="1" applyFont="1" applyFill="1" applyBorder="1" applyAlignment="1"/>
    <xf numFmtId="0" fontId="5" fillId="23" borderId="9" xfId="0" applyFont="1" applyFill="1" applyBorder="1" applyAlignment="1"/>
    <xf numFmtId="188" fontId="2" fillId="23" borderId="9" xfId="0" applyNumberFormat="1" applyFont="1" applyFill="1" applyBorder="1" applyAlignment="1"/>
    <xf numFmtId="0" fontId="5" fillId="23" borderId="10" xfId="0" applyFont="1" applyFill="1" applyBorder="1" applyAlignment="1">
      <alignment horizontal="center" wrapText="1"/>
    </xf>
    <xf numFmtId="187" fontId="5" fillId="23" borderId="10" xfId="0" applyNumberFormat="1" applyFont="1" applyFill="1" applyBorder="1" applyAlignment="1">
      <alignment horizontal="right"/>
    </xf>
    <xf numFmtId="189" fontId="5" fillId="23" borderId="10" xfId="0" applyNumberFormat="1" applyFont="1" applyFill="1" applyBorder="1" applyAlignment="1">
      <alignment horizontal="right"/>
    </xf>
    <xf numFmtId="189" fontId="2" fillId="23" borderId="10" xfId="0" applyNumberFormat="1" applyFont="1" applyFill="1" applyBorder="1" applyAlignment="1"/>
    <xf numFmtId="188" fontId="2" fillId="2" borderId="8" xfId="0" applyNumberFormat="1" applyFont="1" applyFill="1" applyBorder="1" applyAlignment="1"/>
    <xf numFmtId="188" fontId="7" fillId="2" borderId="9" xfId="0" applyNumberFormat="1" applyFont="1" applyFill="1" applyBorder="1" applyAlignment="1"/>
    <xf numFmtId="0" fontId="7" fillId="2" borderId="10" xfId="0" applyFont="1" applyFill="1" applyBorder="1" applyAlignment="1">
      <alignment horizontal="center" wrapText="1"/>
    </xf>
    <xf numFmtId="187" fontId="5" fillId="23" borderId="10" xfId="0" applyNumberFormat="1" applyFont="1" applyFill="1" applyBorder="1" applyAlignment="1">
      <alignment horizontal="center"/>
    </xf>
    <xf numFmtId="189" fontId="5" fillId="23" borderId="10" xfId="0" applyNumberFormat="1" applyFont="1" applyFill="1" applyBorder="1" applyAlignment="1">
      <alignment horizontal="center"/>
    </xf>
    <xf numFmtId="188" fontId="2" fillId="26" borderId="8" xfId="0" applyNumberFormat="1" applyFont="1" applyFill="1" applyBorder="1" applyAlignment="1"/>
    <xf numFmtId="188" fontId="2" fillId="26" borderId="9" xfId="0" applyNumberFormat="1" applyFont="1" applyFill="1" applyBorder="1" applyAlignment="1"/>
    <xf numFmtId="0" fontId="5" fillId="26" borderId="9" xfId="0" applyFont="1" applyFill="1" applyBorder="1" applyAlignment="1"/>
    <xf numFmtId="0" fontId="2" fillId="26" borderId="9" xfId="0" applyFont="1" applyFill="1" applyBorder="1" applyAlignment="1"/>
    <xf numFmtId="0" fontId="2" fillId="26" borderId="10" xfId="0" applyFont="1" applyFill="1" applyBorder="1" applyAlignment="1"/>
    <xf numFmtId="0" fontId="5" fillId="26" borderId="10" xfId="0" applyFont="1" applyFill="1" applyBorder="1" applyAlignment="1">
      <alignment horizontal="center" wrapText="1"/>
    </xf>
    <xf numFmtId="187" fontId="5" fillId="26" borderId="10" xfId="0" applyNumberFormat="1" applyFont="1" applyFill="1" applyBorder="1" applyAlignment="1">
      <alignment horizontal="right"/>
    </xf>
    <xf numFmtId="189" fontId="5" fillId="26" borderId="10" xfId="0" applyNumberFormat="1" applyFont="1" applyFill="1" applyBorder="1" applyAlignment="1">
      <alignment horizontal="right"/>
    </xf>
    <xf numFmtId="189" fontId="2" fillId="26" borderId="10" xfId="0" applyNumberFormat="1" applyFont="1" applyFill="1" applyBorder="1" applyAlignment="1"/>
    <xf numFmtId="0" fontId="17" fillId="2" borderId="9" xfId="0" quotePrefix="1" applyFont="1" applyFill="1" applyBorder="1" applyAlignment="1"/>
    <xf numFmtId="188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87" fontId="5" fillId="26" borderId="10" xfId="0" applyNumberFormat="1" applyFont="1" applyFill="1" applyBorder="1" applyAlignment="1">
      <alignment horizontal="center"/>
    </xf>
    <xf numFmtId="189" fontId="5" fillId="26" borderId="10" xfId="0" applyNumberFormat="1" applyFont="1" applyFill="1" applyBorder="1" applyAlignment="1">
      <alignment horizontal="center"/>
    </xf>
    <xf numFmtId="0" fontId="7" fillId="0" borderId="10" xfId="0" applyFont="1" applyBorder="1" applyAlignment="1"/>
    <xf numFmtId="187" fontId="7" fillId="2" borderId="10" xfId="0" applyNumberFormat="1" applyFont="1" applyFill="1" applyBorder="1" applyAlignment="1">
      <alignment horizontal="center"/>
    </xf>
    <xf numFmtId="189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89" fontId="7" fillId="2" borderId="10" xfId="0" applyNumberFormat="1" applyFont="1" applyFill="1" applyBorder="1" applyAlignment="1">
      <alignment horizontal="center"/>
    </xf>
    <xf numFmtId="188" fontId="2" fillId="27" borderId="8" xfId="0" applyNumberFormat="1" applyFont="1" applyFill="1" applyBorder="1" applyAlignment="1"/>
    <xf numFmtId="188" fontId="2" fillId="27" borderId="9" xfId="0" applyNumberFormat="1" applyFont="1" applyFill="1" applyBorder="1" applyAlignment="1"/>
    <xf numFmtId="0" fontId="2" fillId="27" borderId="9" xfId="0" applyFont="1" applyFill="1" applyBorder="1" applyAlignment="1"/>
    <xf numFmtId="0" fontId="2" fillId="27" borderId="10" xfId="0" applyFont="1" applyFill="1" applyBorder="1" applyAlignment="1"/>
    <xf numFmtId="188" fontId="2" fillId="27" borderId="10" xfId="0" applyNumberFormat="1" applyFont="1" applyFill="1" applyBorder="1" applyAlignment="1"/>
    <xf numFmtId="187" fontId="2" fillId="27" borderId="10" xfId="0" applyNumberFormat="1" applyFont="1" applyFill="1" applyBorder="1" applyAlignment="1"/>
    <xf numFmtId="189" fontId="2" fillId="27" borderId="10" xfId="0" applyNumberFormat="1" applyFont="1" applyFill="1" applyBorder="1" applyAlignment="1"/>
    <xf numFmtId="188" fontId="7" fillId="0" borderId="9" xfId="0" quotePrefix="1" applyNumberFormat="1" applyFont="1" applyBorder="1" applyAlignment="1"/>
    <xf numFmtId="0" fontId="16" fillId="27" borderId="9" xfId="0" applyFont="1" applyFill="1" applyBorder="1" applyAlignment="1"/>
    <xf numFmtId="0" fontId="16" fillId="27" borderId="10" xfId="0" applyFont="1" applyFill="1" applyBorder="1" applyAlignment="1">
      <alignment horizontal="center" wrapText="1"/>
    </xf>
    <xf numFmtId="190" fontId="2" fillId="27" borderId="8" xfId="0" applyNumberFormat="1" applyFont="1" applyFill="1" applyBorder="1" applyAlignment="1"/>
    <xf numFmtId="0" fontId="16" fillId="27" borderId="9" xfId="0" applyFont="1" applyFill="1" applyBorder="1" applyAlignment="1"/>
    <xf numFmtId="0" fontId="18" fillId="27" borderId="9" xfId="0" applyFont="1" applyFill="1" applyBorder="1" applyAlignment="1"/>
    <xf numFmtId="188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 applyAlignment="1"/>
    <xf numFmtId="188" fontId="8" fillId="27" borderId="10" xfId="0" applyNumberFormat="1" applyFont="1" applyFill="1" applyBorder="1" applyAlignment="1">
      <alignment horizontal="center" wrapText="1"/>
    </xf>
    <xf numFmtId="188" fontId="16" fillId="27" borderId="9" xfId="0" applyNumberFormat="1" applyFont="1" applyFill="1" applyBorder="1" applyAlignment="1"/>
    <xf numFmtId="0" fontId="19" fillId="27" borderId="9" xfId="0" quotePrefix="1" applyFont="1" applyFill="1" applyBorder="1" applyAlignment="1"/>
    <xf numFmtId="0" fontId="8" fillId="27" borderId="10" xfId="0" applyFont="1" applyFill="1" applyBorder="1" applyAlignment="1">
      <alignment horizontal="center"/>
    </xf>
    <xf numFmtId="188" fontId="8" fillId="27" borderId="9" xfId="0" quotePrefix="1" applyNumberFormat="1" applyFont="1" applyFill="1" applyBorder="1" applyAlignment="1"/>
    <xf numFmtId="0" fontId="8" fillId="27" borderId="9" xfId="0" quotePrefix="1" applyFont="1" applyFill="1" applyBorder="1" applyAlignment="1"/>
    <xf numFmtId="0" fontId="7" fillId="2" borderId="9" xfId="0" applyFont="1" applyFill="1" applyBorder="1" applyAlignment="1"/>
    <xf numFmtId="46" fontId="2" fillId="2" borderId="8" xfId="0" applyNumberFormat="1" applyFont="1" applyFill="1" applyBorder="1" applyAlignment="1"/>
    <xf numFmtId="0" fontId="7" fillId="2" borderId="9" xfId="0" quotePrefix="1" applyFont="1" applyFill="1" applyBorder="1" applyAlignment="1"/>
    <xf numFmtId="188" fontId="2" fillId="0" borderId="7" xfId="0" applyNumberFormat="1" applyFont="1" applyBorder="1" applyAlignment="1"/>
    <xf numFmtId="188" fontId="2" fillId="0" borderId="1" xfId="0" applyNumberFormat="1" applyFont="1" applyBorder="1" applyAlignment="1"/>
    <xf numFmtId="0" fontId="7" fillId="0" borderId="1" xfId="0" quotePrefix="1" applyFont="1" applyBorder="1" applyAlignment="1"/>
    <xf numFmtId="0" fontId="2" fillId="0" borderId="1" xfId="0" applyFont="1" applyBorder="1" applyAlignment="1"/>
    <xf numFmtId="0" fontId="2" fillId="0" borderId="2" xfId="0" applyFont="1" applyBorder="1" applyAlignment="1"/>
    <xf numFmtId="189" fontId="7" fillId="0" borderId="2" xfId="0" applyNumberFormat="1" applyFont="1" applyBorder="1" applyAlignment="1">
      <alignment horizontal="right"/>
    </xf>
    <xf numFmtId="189" fontId="2" fillId="0" borderId="2" xfId="0" applyNumberFormat="1" applyFont="1" applyBorder="1" applyAlignment="1"/>
    <xf numFmtId="188" fontId="3" fillId="28" borderId="7" xfId="0" applyNumberFormat="1" applyFont="1" applyFill="1" applyBorder="1" applyAlignment="1"/>
    <xf numFmtId="188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187" fontId="2" fillId="28" borderId="1" xfId="0" applyNumberFormat="1" applyFont="1" applyFill="1" applyBorder="1" applyAlignment="1"/>
    <xf numFmtId="189" fontId="2" fillId="28" borderId="1" xfId="0" applyNumberFormat="1" applyFont="1" applyFill="1" applyBorder="1" applyAlignment="1"/>
    <xf numFmtId="189" fontId="2" fillId="28" borderId="2" xfId="0" applyNumberFormat="1" applyFont="1" applyFill="1" applyBorder="1" applyAlignment="1"/>
    <xf numFmtId="188" fontId="5" fillId="29" borderId="8" xfId="0" applyNumberFormat="1" applyFont="1" applyFill="1" applyBorder="1" applyAlignment="1"/>
    <xf numFmtId="0" fontId="2" fillId="29" borderId="9" xfId="0" applyFont="1" applyFill="1" applyBorder="1" applyAlignment="1"/>
    <xf numFmtId="188" fontId="2" fillId="29" borderId="9" xfId="0" applyNumberFormat="1" applyFont="1" applyFill="1" applyBorder="1" applyAlignment="1"/>
    <xf numFmtId="187" fontId="2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2" fillId="29" borderId="10" xfId="0" applyNumberFormat="1" applyFont="1" applyFill="1" applyBorder="1" applyAlignment="1"/>
    <xf numFmtId="190" fontId="2" fillId="30" borderId="8" xfId="0" applyNumberFormat="1" applyFont="1" applyFill="1" applyBorder="1" applyAlignment="1"/>
    <xf numFmtId="0" fontId="5" fillId="30" borderId="9" xfId="0" applyFont="1" applyFill="1" applyBorder="1" applyAlignment="1"/>
    <xf numFmtId="0" fontId="2" fillId="30" borderId="9" xfId="0" applyFont="1" applyFill="1" applyBorder="1" applyAlignment="1"/>
    <xf numFmtId="188" fontId="2" fillId="30" borderId="9" xfId="0" applyNumberFormat="1" applyFont="1" applyFill="1" applyBorder="1" applyAlignment="1"/>
    <xf numFmtId="0" fontId="2" fillId="30" borderId="10" xfId="0" applyFont="1" applyFill="1" applyBorder="1" applyAlignment="1"/>
    <xf numFmtId="0" fontId="5" fillId="30" borderId="10" xfId="0" applyFont="1" applyFill="1" applyBorder="1" applyAlignment="1">
      <alignment horizontal="center" wrapText="1"/>
    </xf>
    <xf numFmtId="187" fontId="5" fillId="30" borderId="10" xfId="0" applyNumberFormat="1" applyFont="1" applyFill="1" applyBorder="1" applyAlignment="1">
      <alignment horizontal="right"/>
    </xf>
    <xf numFmtId="189" fontId="5" fillId="30" borderId="10" xfId="0" applyNumberFormat="1" applyFont="1" applyFill="1" applyBorder="1" applyAlignment="1">
      <alignment horizontal="right"/>
    </xf>
    <xf numFmtId="189" fontId="2" fillId="30" borderId="10" xfId="0" applyNumberFormat="1" applyFont="1" applyFill="1" applyBorder="1" applyAlignment="1"/>
    <xf numFmtId="0" fontId="5" fillId="0" borderId="9" xfId="0" applyFont="1" applyBorder="1" applyAlignment="1"/>
    <xf numFmtId="188" fontId="2" fillId="10" borderId="7" xfId="0" applyNumberFormat="1" applyFont="1" applyFill="1" applyBorder="1" applyAlignment="1"/>
    <xf numFmtId="188" fontId="2" fillId="10" borderId="1" xfId="0" applyNumberFormat="1" applyFont="1" applyFill="1" applyBorder="1" applyAlignment="1"/>
    <xf numFmtId="188" fontId="5" fillId="31" borderId="7" xfId="0" applyNumberFormat="1" applyFont="1" applyFill="1" applyBorder="1" applyAlignment="1"/>
    <xf numFmtId="188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187" fontId="2" fillId="31" borderId="1" xfId="0" applyNumberFormat="1" applyFont="1" applyFill="1" applyBorder="1" applyAlignment="1"/>
    <xf numFmtId="189" fontId="2" fillId="31" borderId="1" xfId="0" applyNumberFormat="1" applyFont="1" applyFill="1" applyBorder="1" applyAlignment="1"/>
    <xf numFmtId="189" fontId="2" fillId="31" borderId="2" xfId="0" applyNumberFormat="1" applyFont="1" applyFill="1" applyBorder="1" applyAlignment="1"/>
    <xf numFmtId="188" fontId="5" fillId="32" borderId="8" xfId="0" applyNumberFormat="1" applyFont="1" applyFill="1" applyBorder="1" applyAlignment="1"/>
    <xf numFmtId="188" fontId="2" fillId="32" borderId="9" xfId="0" applyNumberFormat="1" applyFont="1" applyFill="1" applyBorder="1" applyAlignment="1"/>
    <xf numFmtId="0" fontId="2" fillId="32" borderId="9" xfId="0" applyFont="1" applyFill="1" applyBorder="1" applyAlignment="1"/>
    <xf numFmtId="0" fontId="2" fillId="32" borderId="10" xfId="0" applyFont="1" applyFill="1" applyBorder="1" applyAlignment="1"/>
    <xf numFmtId="187" fontId="2" fillId="32" borderId="10" xfId="0" applyNumberFormat="1" applyFont="1" applyFill="1" applyBorder="1" applyAlignment="1"/>
    <xf numFmtId="189" fontId="2" fillId="32" borderId="10" xfId="0" applyNumberFormat="1" applyFont="1" applyFill="1" applyBorder="1" applyAlignment="1"/>
    <xf numFmtId="188" fontId="2" fillId="33" borderId="8" xfId="0" applyNumberFormat="1" applyFont="1" applyFill="1" applyBorder="1" applyAlignment="1"/>
    <xf numFmtId="0" fontId="5" fillId="33" borderId="9" xfId="0" applyFont="1" applyFill="1" applyBorder="1" applyAlignment="1"/>
    <xf numFmtId="0" fontId="2" fillId="33" borderId="9" xfId="0" applyFont="1" applyFill="1" applyBorder="1" applyAlignment="1"/>
    <xf numFmtId="0" fontId="2" fillId="33" borderId="10" xfId="0" applyFont="1" applyFill="1" applyBorder="1" applyAlignment="1"/>
    <xf numFmtId="0" fontId="5" fillId="33" borderId="10" xfId="0" applyFont="1" applyFill="1" applyBorder="1" applyAlignment="1">
      <alignment horizontal="center" wrapText="1"/>
    </xf>
    <xf numFmtId="187" fontId="5" fillId="33" borderId="10" xfId="0" applyNumberFormat="1" applyFont="1" applyFill="1" applyBorder="1" applyAlignment="1">
      <alignment horizontal="right"/>
    </xf>
    <xf numFmtId="189" fontId="5" fillId="33" borderId="10" xfId="0" applyNumberFormat="1" applyFont="1" applyFill="1" applyBorder="1" applyAlignment="1">
      <alignment horizontal="right"/>
    </xf>
    <xf numFmtId="189" fontId="2" fillId="33" borderId="10" xfId="0" applyNumberFormat="1" applyFont="1" applyFill="1" applyBorder="1" applyAlignment="1"/>
    <xf numFmtId="190" fontId="2" fillId="33" borderId="8" xfId="0" applyNumberFormat="1" applyFont="1" applyFill="1" applyBorder="1" applyAlignment="1"/>
    <xf numFmtId="190" fontId="2" fillId="33" borderId="9" xfId="0" applyNumberFormat="1" applyFont="1" applyFill="1" applyBorder="1" applyAlignment="1"/>
    <xf numFmtId="188" fontId="2" fillId="33" borderId="9" xfId="0" applyNumberFormat="1" applyFont="1" applyFill="1" applyBorder="1" applyAlignment="1"/>
    <xf numFmtId="0" fontId="5" fillId="23" borderId="9" xfId="0" applyFont="1" applyFill="1" applyBorder="1" applyAlignment="1"/>
    <xf numFmtId="188" fontId="20" fillId="26" borderId="9" xfId="0" applyNumberFormat="1" applyFont="1" applyFill="1" applyBorder="1" applyAlignment="1"/>
    <xf numFmtId="188" fontId="21" fillId="2" borderId="9" xfId="0" applyNumberFormat="1" applyFont="1" applyFill="1" applyBorder="1" applyAlignment="1"/>
    <xf numFmtId="0" fontId="22" fillId="26" borderId="9" xfId="0" applyFont="1" applyFill="1" applyBorder="1" applyAlignment="1"/>
    <xf numFmtId="187" fontId="2" fillId="33" borderId="10" xfId="0" applyNumberFormat="1" applyFont="1" applyFill="1" applyBorder="1" applyAlignment="1"/>
    <xf numFmtId="0" fontId="5" fillId="26" borderId="10" xfId="0" applyFont="1" applyFill="1" applyBorder="1" applyAlignment="1">
      <alignment horizontal="center"/>
    </xf>
    <xf numFmtId="0" fontId="7" fillId="0" borderId="9" xfId="0" quotePrefix="1" applyFont="1" applyBorder="1" applyAlignment="1"/>
    <xf numFmtId="188" fontId="21" fillId="2" borderId="1" xfId="0" applyNumberFormat="1" applyFont="1" applyFill="1" applyBorder="1" applyAlignment="1"/>
    <xf numFmtId="188" fontId="5" fillId="33" borderId="9" xfId="0" applyNumberFormat="1" applyFont="1" applyFill="1" applyBorder="1" applyAlignment="1"/>
    <xf numFmtId="188" fontId="5" fillId="33" borderId="10" xfId="0" applyNumberFormat="1" applyFont="1" applyFill="1" applyBorder="1" applyAlignment="1">
      <alignment horizontal="center" wrapText="1"/>
    </xf>
    <xf numFmtId="188" fontId="23" fillId="2" borderId="9" xfId="0" applyNumberFormat="1" applyFont="1" applyFill="1" applyBorder="1" applyAlignment="1"/>
    <xf numFmtId="188" fontId="24" fillId="23" borderId="9" xfId="0" quotePrefix="1" applyNumberFormat="1" applyFont="1" applyFill="1" applyBorder="1" applyAlignment="1"/>
    <xf numFmtId="188" fontId="8" fillId="2" borderId="9" xfId="0" applyNumberFormat="1" applyFont="1" applyFill="1" applyBorder="1" applyAlignment="1"/>
    <xf numFmtId="187" fontId="8" fillId="2" borderId="10" xfId="0" applyNumberFormat="1" applyFont="1" applyFill="1" applyBorder="1" applyAlignment="1">
      <alignment horizontal="right"/>
    </xf>
    <xf numFmtId="188" fontId="2" fillId="27" borderId="1" xfId="0" applyNumberFormat="1" applyFont="1" applyFill="1" applyBorder="1" applyAlignment="1"/>
    <xf numFmtId="188" fontId="2" fillId="27" borderId="2" xfId="0" applyNumberFormat="1" applyFont="1" applyFill="1" applyBorder="1" applyAlignment="1"/>
    <xf numFmtId="187" fontId="2" fillId="27" borderId="2" xfId="0" applyNumberFormat="1" applyFont="1" applyFill="1" applyBorder="1" applyAlignment="1"/>
    <xf numFmtId="189" fontId="2" fillId="27" borderId="2" xfId="0" applyNumberFormat="1" applyFont="1" applyFill="1" applyBorder="1" applyAlignment="1"/>
    <xf numFmtId="187" fontId="5" fillId="33" borderId="10" xfId="0" applyNumberFormat="1" applyFont="1" applyFill="1" applyBorder="1" applyAlignment="1"/>
    <xf numFmtId="188" fontId="2" fillId="33" borderId="10" xfId="0" applyNumberFormat="1" applyFont="1" applyFill="1" applyBorder="1" applyAlignment="1"/>
    <xf numFmtId="188" fontId="5" fillId="33" borderId="10" xfId="0" applyNumberFormat="1" applyFont="1" applyFill="1" applyBorder="1" applyAlignment="1">
      <alignment horizontal="center"/>
    </xf>
    <xf numFmtId="188" fontId="5" fillId="2" borderId="9" xfId="0" applyNumberFormat="1" applyFont="1" applyFill="1" applyBorder="1" applyAlignment="1">
      <alignment horizontal="center"/>
    </xf>
    <xf numFmtId="188" fontId="5" fillId="2" borderId="10" xfId="0" applyNumberFormat="1" applyFont="1" applyFill="1" applyBorder="1" applyAlignment="1">
      <alignment horizontal="center" wrapText="1"/>
    </xf>
    <xf numFmtId="188" fontId="26" fillId="2" borderId="9" xfId="0" quotePrefix="1" applyNumberFormat="1" applyFont="1" applyFill="1" applyBorder="1" applyAlignment="1"/>
    <xf numFmtId="188" fontId="5" fillId="2" borderId="9" xfId="0" applyNumberFormat="1" applyFont="1" applyFill="1" applyBorder="1" applyAlignment="1"/>
    <xf numFmtId="191" fontId="7" fillId="2" borderId="10" xfId="0" applyNumberFormat="1" applyFont="1" applyFill="1" applyBorder="1" applyAlignment="1">
      <alignment horizontal="right"/>
    </xf>
    <xf numFmtId="188" fontId="7" fillId="2" borderId="9" xfId="0" quotePrefix="1" applyNumberFormat="1" applyFont="1" applyFill="1" applyBorder="1" applyAlignment="1"/>
    <xf numFmtId="188" fontId="27" fillId="2" borderId="9" xfId="0" applyNumberFormat="1" applyFont="1" applyFill="1" applyBorder="1" applyAlignment="1"/>
    <xf numFmtId="188" fontId="2" fillId="2" borderId="7" xfId="0" applyNumberFormat="1" applyFont="1" applyFill="1" applyBorder="1" applyAlignment="1"/>
    <xf numFmtId="188" fontId="2" fillId="2" borderId="2" xfId="0" applyNumberFormat="1" applyFont="1" applyFill="1" applyBorder="1" applyAlignment="1"/>
    <xf numFmtId="188" fontId="7" fillId="2" borderId="2" xfId="0" applyNumberFormat="1" applyFont="1" applyFill="1" applyBorder="1" applyAlignment="1">
      <alignment horizontal="center"/>
    </xf>
    <xf numFmtId="0" fontId="28" fillId="2" borderId="9" xfId="0" applyFont="1" applyFill="1" applyBorder="1" applyAlignment="1"/>
    <xf numFmtId="188" fontId="5" fillId="2" borderId="1" xfId="0" applyNumberFormat="1" applyFont="1" applyFill="1" applyBorder="1" applyAlignment="1"/>
    <xf numFmtId="187" fontId="7" fillId="24" borderId="2" xfId="0" applyNumberFormat="1" applyFont="1" applyFill="1" applyBorder="1" applyAlignment="1">
      <alignment horizontal="right"/>
    </xf>
    <xf numFmtId="188" fontId="5" fillId="34" borderId="7" xfId="0" applyNumberFormat="1" applyFont="1" applyFill="1" applyBorder="1" applyAlignment="1"/>
    <xf numFmtId="188" fontId="2" fillId="34" borderId="1" xfId="0" applyNumberFormat="1" applyFont="1" applyFill="1" applyBorder="1" applyAlignment="1"/>
    <xf numFmtId="0" fontId="2" fillId="34" borderId="1" xfId="0" applyFont="1" applyFill="1" applyBorder="1" applyAlignment="1"/>
    <xf numFmtId="187" fontId="2" fillId="34" borderId="1" xfId="0" applyNumberFormat="1" applyFont="1" applyFill="1" applyBorder="1" applyAlignment="1"/>
    <xf numFmtId="189" fontId="2" fillId="34" borderId="1" xfId="0" applyNumberFormat="1" applyFont="1" applyFill="1" applyBorder="1" applyAlignment="1"/>
    <xf numFmtId="189" fontId="2" fillId="34" borderId="2" xfId="0" applyNumberFormat="1" applyFont="1" applyFill="1" applyBorder="1" applyAlignment="1"/>
    <xf numFmtId="189" fontId="2" fillId="35" borderId="2" xfId="0" applyNumberFormat="1" applyFont="1" applyFill="1" applyBorder="1" applyAlignment="1"/>
    <xf numFmtId="188" fontId="5" fillId="36" borderId="8" xfId="0" applyNumberFormat="1" applyFont="1" applyFill="1" applyBorder="1" applyAlignment="1"/>
    <xf numFmtId="188" fontId="2" fillId="36" borderId="9" xfId="0" applyNumberFormat="1" applyFont="1" applyFill="1" applyBorder="1" applyAlignment="1"/>
    <xf numFmtId="0" fontId="2" fillId="36" borderId="9" xfId="0" applyFont="1" applyFill="1" applyBorder="1" applyAlignment="1"/>
    <xf numFmtId="0" fontId="2" fillId="36" borderId="10" xfId="0" applyFont="1" applyFill="1" applyBorder="1" applyAlignment="1"/>
    <xf numFmtId="187" fontId="2" fillId="36" borderId="10" xfId="0" applyNumberFormat="1" applyFont="1" applyFill="1" applyBorder="1" applyAlignment="1"/>
    <xf numFmtId="189" fontId="2" fillId="36" borderId="10" xfId="0" applyNumberFormat="1" applyFont="1" applyFill="1" applyBorder="1" applyAlignment="1"/>
    <xf numFmtId="189" fontId="2" fillId="36" borderId="6" xfId="0" applyNumberFormat="1" applyFont="1" applyFill="1" applyBorder="1" applyAlignment="1"/>
    <xf numFmtId="188" fontId="2" fillId="37" borderId="8" xfId="0" applyNumberFormat="1" applyFont="1" applyFill="1" applyBorder="1" applyAlignment="1"/>
    <xf numFmtId="0" fontId="5" fillId="37" borderId="9" xfId="0" applyFont="1" applyFill="1" applyBorder="1" applyAlignment="1"/>
    <xf numFmtId="188" fontId="2" fillId="37" borderId="9" xfId="0" applyNumberFormat="1" applyFont="1" applyFill="1" applyBorder="1" applyAlignment="1"/>
    <xf numFmtId="0" fontId="2" fillId="37" borderId="9" xfId="0" applyFont="1" applyFill="1" applyBorder="1" applyAlignment="1"/>
    <xf numFmtId="0" fontId="2" fillId="37" borderId="10" xfId="0" applyFont="1" applyFill="1" applyBorder="1" applyAlignment="1"/>
    <xf numFmtId="0" fontId="5" fillId="37" borderId="10" xfId="0" applyFont="1" applyFill="1" applyBorder="1" applyAlignment="1">
      <alignment horizontal="center" wrapText="1"/>
    </xf>
    <xf numFmtId="187" fontId="5" fillId="37" borderId="10" xfId="0" applyNumberFormat="1" applyFont="1" applyFill="1" applyBorder="1" applyAlignment="1">
      <alignment horizontal="right"/>
    </xf>
    <xf numFmtId="189" fontId="5" fillId="37" borderId="10" xfId="0" applyNumberFormat="1" applyFont="1" applyFill="1" applyBorder="1" applyAlignment="1">
      <alignment horizontal="right"/>
    </xf>
    <xf numFmtId="189" fontId="2" fillId="37" borderId="10" xfId="0" applyNumberFormat="1" applyFont="1" applyFill="1" applyBorder="1" applyAlignment="1"/>
    <xf numFmtId="0" fontId="7" fillId="0" borderId="1" xfId="0" applyFont="1" applyBorder="1" applyAlignment="1"/>
    <xf numFmtId="0" fontId="7" fillId="2" borderId="2" xfId="0" applyFont="1" applyFill="1" applyBorder="1" applyAlignment="1">
      <alignment horizontal="center" wrapText="1"/>
    </xf>
    <xf numFmtId="188" fontId="2" fillId="27" borderId="7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2" xfId="0" applyFont="1" applyFill="1" applyBorder="1" applyAlignment="1"/>
    <xf numFmtId="188" fontId="5" fillId="37" borderId="10" xfId="0" applyNumberFormat="1" applyFont="1" applyFill="1" applyBorder="1" applyAlignment="1">
      <alignment horizontal="center" wrapText="1"/>
    </xf>
    <xf numFmtId="187" fontId="5" fillId="37" borderId="10" xfId="0" applyNumberFormat="1" applyFont="1" applyFill="1" applyBorder="1" applyAlignment="1"/>
    <xf numFmtId="0" fontId="5" fillId="2" borderId="9" xfId="0" applyFont="1" applyFill="1" applyBorder="1" applyAlignment="1">
      <alignment horizontal="center"/>
    </xf>
    <xf numFmtId="188" fontId="16" fillId="22" borderId="8" xfId="0" applyNumberFormat="1" applyFont="1" applyFill="1" applyBorder="1" applyAlignment="1"/>
    <xf numFmtId="0" fontId="16" fillId="12" borderId="9" xfId="0" applyFont="1" applyFill="1" applyBorder="1" applyAlignment="1"/>
    <xf numFmtId="188" fontId="16" fillId="12" borderId="9" xfId="0" applyNumberFormat="1" applyFont="1" applyFill="1" applyBorder="1" applyAlignment="1">
      <alignment horizontal="center"/>
    </xf>
    <xf numFmtId="188" fontId="2" fillId="12" borderId="8" xfId="0" applyNumberFormat="1" applyFont="1" applyFill="1" applyBorder="1" applyAlignment="1"/>
    <xf numFmtId="188" fontId="8" fillId="12" borderId="9" xfId="0" applyNumberFormat="1" applyFont="1" applyFill="1" applyBorder="1" applyAlignment="1"/>
    <xf numFmtId="188" fontId="16" fillId="12" borderId="10" xfId="0" applyNumberFormat="1" applyFont="1" applyFill="1" applyBorder="1" applyAlignment="1">
      <alignment horizontal="center"/>
    </xf>
    <xf numFmtId="188" fontId="16" fillId="0" borderId="10" xfId="0" applyNumberFormat="1" applyFont="1" applyBorder="1" applyAlignment="1">
      <alignment horizontal="center" wrapText="1"/>
    </xf>
    <xf numFmtId="0" fontId="30" fillId="2" borderId="9" xfId="0" applyFont="1" applyFill="1" applyBorder="1" applyAlignment="1"/>
    <xf numFmtId="188" fontId="16" fillId="0" borderId="10" xfId="0" applyNumberFormat="1" applyFont="1" applyBorder="1" applyAlignment="1">
      <alignment horizontal="center"/>
    </xf>
    <xf numFmtId="188" fontId="8" fillId="0" borderId="10" xfId="0" applyNumberFormat="1" applyFont="1" applyBorder="1" applyAlignment="1">
      <alignment horizontal="center"/>
    </xf>
    <xf numFmtId="0" fontId="31" fillId="23" borderId="9" xfId="0" quotePrefix="1" applyFont="1" applyFill="1" applyBorder="1" applyAlignment="1"/>
    <xf numFmtId="188" fontId="8" fillId="0" borderId="9" xfId="0" applyNumberFormat="1" applyFont="1" applyBorder="1" applyAlignment="1"/>
    <xf numFmtId="188" fontId="2" fillId="0" borderId="14" xfId="0" applyNumberFormat="1" applyFont="1" applyBorder="1" applyAlignment="1"/>
    <xf numFmtId="188" fontId="2" fillId="0" borderId="15" xfId="0" applyNumberFormat="1" applyFont="1" applyBorder="1" applyAlignment="1"/>
    <xf numFmtId="188" fontId="8" fillId="0" borderId="15" xfId="0" applyNumberFormat="1" applyFont="1" applyBorder="1" applyAlignment="1"/>
    <xf numFmtId="0" fontId="2" fillId="0" borderId="15" xfId="0" applyFont="1" applyBorder="1" applyAlignment="1"/>
    <xf numFmtId="0" fontId="2" fillId="0" borderId="16" xfId="0" applyFont="1" applyBorder="1" applyAlignment="1"/>
    <xf numFmtId="188" fontId="8" fillId="0" borderId="16" xfId="0" applyNumberFormat="1" applyFont="1" applyBorder="1" applyAlignment="1">
      <alignment horizontal="center" wrapText="1"/>
    </xf>
    <xf numFmtId="187" fontId="2" fillId="2" borderId="16" xfId="0" applyNumberFormat="1" applyFont="1" applyFill="1" applyBorder="1" applyAlignment="1"/>
    <xf numFmtId="189" fontId="2" fillId="0" borderId="16" xfId="0" applyNumberFormat="1" applyFont="1" applyBorder="1" applyAlignment="1"/>
    <xf numFmtId="189" fontId="2" fillId="2" borderId="16" xfId="0" applyNumberFormat="1" applyFont="1" applyFill="1" applyBorder="1" applyAlignment="1"/>
    <xf numFmtId="188" fontId="3" fillId="38" borderId="7" xfId="0" applyNumberFormat="1" applyFont="1" applyFill="1" applyBorder="1" applyAlignment="1"/>
    <xf numFmtId="188" fontId="2" fillId="38" borderId="1" xfId="0" applyNumberFormat="1" applyFont="1" applyFill="1" applyBorder="1" applyAlignment="1"/>
    <xf numFmtId="0" fontId="2" fillId="38" borderId="1" xfId="0" applyFont="1" applyFill="1" applyBorder="1" applyAlignment="1"/>
    <xf numFmtId="0" fontId="2" fillId="38" borderId="2" xfId="0" applyFont="1" applyFill="1" applyBorder="1" applyAlignment="1"/>
    <xf numFmtId="188" fontId="2" fillId="38" borderId="2" xfId="0" applyNumberFormat="1" applyFont="1" applyFill="1" applyBorder="1" applyAlignment="1"/>
    <xf numFmtId="187" fontId="2" fillId="38" borderId="2" xfId="0" applyNumberFormat="1" applyFont="1" applyFill="1" applyBorder="1" applyAlignment="1"/>
    <xf numFmtId="189" fontId="2" fillId="38" borderId="2" xfId="0" applyNumberFormat="1" applyFont="1" applyFill="1" applyBorder="1" applyAlignment="1"/>
    <xf numFmtId="188" fontId="2" fillId="39" borderId="9" xfId="0" applyNumberFormat="1" applyFont="1" applyFill="1" applyBorder="1" applyAlignment="1"/>
    <xf numFmtId="188" fontId="5" fillId="39" borderId="9" xfId="0" applyNumberFormat="1" applyFont="1" applyFill="1" applyBorder="1" applyAlignment="1"/>
    <xf numFmtId="0" fontId="2" fillId="39" borderId="9" xfId="0" applyFont="1" applyFill="1" applyBorder="1" applyAlignment="1"/>
    <xf numFmtId="0" fontId="2" fillId="39" borderId="10" xfId="0" applyFont="1" applyFill="1" applyBorder="1" applyAlignment="1"/>
    <xf numFmtId="188" fontId="2" fillId="39" borderId="10" xfId="0" applyNumberFormat="1" applyFont="1" applyFill="1" applyBorder="1" applyAlignment="1"/>
    <xf numFmtId="187" fontId="2" fillId="39" borderId="10" xfId="0" applyNumberFormat="1" applyFont="1" applyFill="1" applyBorder="1" applyAlignment="1"/>
    <xf numFmtId="189" fontId="2" fillId="39" borderId="10" xfId="0" applyNumberFormat="1" applyFont="1" applyFill="1" applyBorder="1" applyAlignment="1"/>
    <xf numFmtId="188" fontId="2" fillId="40" borderId="9" xfId="0" applyNumberFormat="1" applyFont="1" applyFill="1" applyBorder="1" applyAlignment="1"/>
    <xf numFmtId="188" fontId="5" fillId="40" borderId="9" xfId="0" applyNumberFormat="1" applyFont="1" applyFill="1" applyBorder="1" applyAlignment="1"/>
    <xf numFmtId="0" fontId="2" fillId="40" borderId="9" xfId="0" applyFont="1" applyFill="1" applyBorder="1" applyAlignment="1"/>
    <xf numFmtId="0" fontId="2" fillId="40" borderId="10" xfId="0" applyFont="1" applyFill="1" applyBorder="1" applyAlignment="1"/>
    <xf numFmtId="188" fontId="5" fillId="40" borderId="10" xfId="0" applyNumberFormat="1" applyFont="1" applyFill="1" applyBorder="1" applyAlignment="1">
      <alignment horizontal="center"/>
    </xf>
    <xf numFmtId="187" fontId="5" fillId="40" borderId="10" xfId="0" applyNumberFormat="1" applyFont="1" applyFill="1" applyBorder="1" applyAlignment="1">
      <alignment horizontal="right"/>
    </xf>
    <xf numFmtId="189" fontId="5" fillId="40" borderId="10" xfId="0" applyNumberFormat="1" applyFont="1" applyFill="1" applyBorder="1" applyAlignment="1">
      <alignment horizontal="right"/>
    </xf>
    <xf numFmtId="189" fontId="2" fillId="40" borderId="10" xfId="0" applyNumberFormat="1" applyFont="1" applyFill="1" applyBorder="1" applyAlignment="1"/>
    <xf numFmtId="188" fontId="33" fillId="23" borderId="9" xfId="0" applyNumberFormat="1" applyFont="1" applyFill="1" applyBorder="1" applyAlignment="1"/>
    <xf numFmtId="188" fontId="7" fillId="0" borderId="9" xfId="0" applyNumberFormat="1" applyFont="1" applyBorder="1" applyAlignment="1"/>
    <xf numFmtId="188" fontId="5" fillId="0" borderId="10" xfId="0" applyNumberFormat="1" applyFont="1" applyBorder="1" applyAlignment="1">
      <alignment horizontal="center"/>
    </xf>
    <xf numFmtId="188" fontId="2" fillId="40" borderId="10" xfId="0" applyNumberFormat="1" applyFont="1" applyFill="1" applyBorder="1" applyAlignment="1"/>
    <xf numFmtId="187" fontId="2" fillId="40" borderId="10" xfId="0" applyNumberFormat="1" applyFont="1" applyFill="1" applyBorder="1" applyAlignment="1"/>
    <xf numFmtId="188" fontId="7" fillId="2" borderId="9" xfId="0" applyNumberFormat="1" applyFont="1" applyFill="1" applyBorder="1" applyAlignment="1"/>
    <xf numFmtId="0" fontId="34" fillId="23" borderId="9" xfId="0" applyFont="1" applyFill="1" applyBorder="1" applyAlignment="1"/>
    <xf numFmtId="188" fontId="7" fillId="2" borderId="10" xfId="0" applyNumberFormat="1" applyFont="1" applyFill="1" applyBorder="1" applyAlignment="1">
      <alignment horizontal="right"/>
    </xf>
    <xf numFmtId="188" fontId="5" fillId="2" borderId="10" xfId="0" applyNumberFormat="1" applyFont="1" applyFill="1" applyBorder="1" applyAlignment="1">
      <alignment horizontal="right"/>
    </xf>
    <xf numFmtId="192" fontId="2" fillId="2" borderId="10" xfId="0" applyNumberFormat="1" applyFont="1" applyFill="1" applyBorder="1" applyAlignment="1"/>
    <xf numFmtId="188" fontId="35" fillId="0" borderId="1" xfId="0" applyNumberFormat="1" applyFont="1" applyBorder="1" applyAlignment="1"/>
    <xf numFmtId="192" fontId="2" fillId="2" borderId="2" xfId="0" applyNumberFormat="1" applyFont="1" applyFill="1" applyBorder="1" applyAlignment="1"/>
    <xf numFmtId="188" fontId="5" fillId="39" borderId="10" xfId="0" applyNumberFormat="1" applyFont="1" applyFill="1" applyBorder="1" applyAlignment="1">
      <alignment horizontal="center"/>
    </xf>
    <xf numFmtId="187" fontId="5" fillId="39" borderId="10" xfId="0" applyNumberFormat="1" applyFont="1" applyFill="1" applyBorder="1" applyAlignment="1">
      <alignment horizontal="right"/>
    </xf>
    <xf numFmtId="189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 applyAlignment="1"/>
    <xf numFmtId="0" fontId="36" fillId="0" borderId="9" xfId="0" applyFont="1" applyBorder="1" applyAlignment="1"/>
    <xf numFmtId="188" fontId="16" fillId="39" borderId="9" xfId="0" applyNumberFormat="1" applyFont="1" applyFill="1" applyBorder="1" applyAlignment="1"/>
    <xf numFmtId="188" fontId="16" fillId="39" borderId="10" xfId="0" applyNumberFormat="1" applyFont="1" applyFill="1" applyBorder="1" applyAlignment="1">
      <alignment horizontal="center"/>
    </xf>
    <xf numFmtId="189" fontId="16" fillId="39" borderId="10" xfId="0" applyNumberFormat="1" applyFont="1" applyFill="1" applyBorder="1" applyAlignment="1">
      <alignment horizontal="right"/>
    </xf>
    <xf numFmtId="188" fontId="8" fillId="2" borderId="9" xfId="0" applyNumberFormat="1" applyFont="1" applyFill="1" applyBorder="1" applyAlignment="1"/>
    <xf numFmtId="0" fontId="37" fillId="23" borderId="9" xfId="0" applyFont="1" applyFill="1" applyBorder="1" applyAlignment="1"/>
    <xf numFmtId="0" fontId="8" fillId="2" borderId="1" xfId="0" applyFont="1" applyFill="1" applyBorder="1" applyAlignment="1"/>
    <xf numFmtId="188" fontId="8" fillId="0" borderId="2" xfId="0" applyNumberFormat="1" applyFont="1" applyBorder="1" applyAlignment="1">
      <alignment horizontal="center" wrapText="1"/>
    </xf>
    <xf numFmtId="187" fontId="8" fillId="2" borderId="2" xfId="0" applyNumberFormat="1" applyFont="1" applyFill="1" applyBorder="1" applyAlignment="1">
      <alignment horizontal="right"/>
    </xf>
    <xf numFmtId="188" fontId="2" fillId="39" borderId="8" xfId="0" applyNumberFormat="1" applyFont="1" applyFill="1" applyBorder="1" applyAlignment="1"/>
    <xf numFmtId="188" fontId="5" fillId="0" borderId="9" xfId="0" applyNumberFormat="1" applyFont="1" applyBorder="1" applyAlignment="1"/>
    <xf numFmtId="188" fontId="7" fillId="0" borderId="13" xfId="0" applyNumberFormat="1" applyFont="1" applyBorder="1" applyAlignment="1">
      <alignment horizontal="center"/>
    </xf>
    <xf numFmtId="187" fontId="2" fillId="0" borderId="13" xfId="0" applyNumberFormat="1" applyFont="1" applyBorder="1" applyAlignment="1"/>
    <xf numFmtId="190" fontId="16" fillId="2" borderId="9" xfId="0" applyNumberFormat="1" applyFont="1" applyFill="1" applyBorder="1" applyAlignment="1">
      <alignment horizontal="center"/>
    </xf>
    <xf numFmtId="188" fontId="5" fillId="13" borderId="17" xfId="0" applyNumberFormat="1" applyFont="1" applyFill="1" applyBorder="1" applyAlignment="1"/>
    <xf numFmtId="188" fontId="2" fillId="13" borderId="18" xfId="0" applyNumberFormat="1" applyFont="1" applyFill="1" applyBorder="1" applyAlignment="1"/>
    <xf numFmtId="0" fontId="2" fillId="13" borderId="18" xfId="0" applyFont="1" applyFill="1" applyBorder="1" applyAlignment="1"/>
    <xf numFmtId="0" fontId="2" fillId="13" borderId="19" xfId="0" applyFont="1" applyFill="1" applyBorder="1" applyAlignment="1"/>
    <xf numFmtId="188" fontId="5" fillId="13" borderId="18" xfId="0" applyNumberFormat="1" applyFont="1" applyFill="1" applyBorder="1" applyAlignment="1"/>
    <xf numFmtId="187" fontId="2" fillId="13" borderId="18" xfId="0" applyNumberFormat="1" applyFont="1" applyFill="1" applyBorder="1" applyAlignment="1"/>
    <xf numFmtId="187" fontId="2" fillId="13" borderId="19" xfId="0" applyNumberFormat="1" applyFont="1" applyFill="1" applyBorder="1" applyAlignment="1"/>
    <xf numFmtId="189" fontId="2" fillId="13" borderId="19" xfId="0" applyNumberFormat="1" applyFont="1" applyFill="1" applyBorder="1" applyAlignment="1"/>
    <xf numFmtId="188" fontId="2" fillId="0" borderId="0" xfId="0" applyNumberFormat="1" applyFont="1" applyAlignment="1"/>
    <xf numFmtId="187" fontId="2" fillId="0" borderId="0" xfId="0" applyNumberFormat="1" applyFont="1" applyAlignment="1"/>
    <xf numFmtId="189" fontId="2" fillId="0" borderId="0" xfId="0" applyNumberFormat="1" applyFont="1" applyAlignment="1"/>
    <xf numFmtId="188" fontId="21" fillId="0" borderId="0" xfId="0" applyNumberFormat="1" applyFont="1" applyAlignment="1"/>
    <xf numFmtId="189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89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188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88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88" fontId="25" fillId="2" borderId="1" xfId="0" applyNumberFormat="1" applyFont="1" applyFill="1" applyBorder="1" applyAlignment="1"/>
    <xf numFmtId="0" fontId="29" fillId="2" borderId="9" xfId="0" applyFont="1" applyFill="1" applyBorder="1" applyAlignment="1"/>
    <xf numFmtId="0" fontId="4" fillId="0" borderId="9" xfId="0" applyFont="1" applyBorder="1"/>
    <xf numFmtId="0" fontId="4" fillId="0" borderId="10" xfId="0" applyFont="1" applyBorder="1"/>
    <xf numFmtId="0" fontId="32" fillId="2" borderId="9" xfId="0" applyFont="1" applyFill="1" applyBorder="1" applyAlignment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 applyAlignment="1"/>
    <xf numFmtId="0" fontId="5" fillId="11" borderId="7" xfId="0" applyFont="1" applyFill="1" applyBorder="1" applyAlignment="1"/>
    <xf numFmtId="0" fontId="5" fillId="17" borderId="7" xfId="0" applyFont="1" applyFill="1" applyBorder="1" applyAlignment="1"/>
    <xf numFmtId="0" fontId="5" fillId="18" borderId="9" xfId="0" applyFont="1" applyFill="1" applyBorder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89" fontId="2" fillId="2" borderId="1" xfId="0" applyNumberFormat="1" applyFont="1" applyFill="1" applyBorder="1" applyAlignment="1"/>
    <xf numFmtId="188" fontId="3" fillId="3" borderId="7" xfId="0" applyNumberFormat="1" applyFont="1" applyFill="1" applyBorder="1" applyAlignment="1">
      <alignment horizontal="center"/>
    </xf>
    <xf numFmtId="188" fontId="3" fillId="4" borderId="1" xfId="0" applyNumberFormat="1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top"/>
    </xf>
    <xf numFmtId="0" fontId="3" fillId="5" borderId="6" xfId="0" applyFont="1" applyFill="1" applyBorder="1" applyAlignment="1">
      <alignment horizontal="center" vertical="top"/>
    </xf>
    <xf numFmtId="189" fontId="5" fillId="7" borderId="7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top"/>
    </xf>
    <xf numFmtId="189" fontId="5" fillId="7" borderId="20" xfId="0" applyNumberFormat="1" applyFont="1" applyFill="1" applyBorder="1" applyAlignment="1">
      <alignment horizontal="center" wrapText="1"/>
    </xf>
    <xf numFmtId="0" fontId="38" fillId="0" borderId="1" xfId="0" applyFont="1" applyBorder="1"/>
    <xf numFmtId="189" fontId="2" fillId="10" borderId="20" xfId="0" applyNumberFormat="1" applyFont="1" applyFill="1" applyBorder="1" applyAlignment="1"/>
    <xf numFmtId="189" fontId="2" fillId="10" borderId="21" xfId="0" applyNumberFormat="1" applyFont="1" applyFill="1" applyBorder="1" applyAlignment="1"/>
    <xf numFmtId="189" fontId="2" fillId="11" borderId="20" xfId="0" applyNumberFormat="1" applyFont="1" applyFill="1" applyBorder="1" applyAlignment="1"/>
    <xf numFmtId="189" fontId="5" fillId="12" borderId="21" xfId="0" applyNumberFormat="1" applyFont="1" applyFill="1" applyBorder="1" applyAlignment="1">
      <alignment horizontal="right"/>
    </xf>
    <xf numFmtId="0" fontId="8" fillId="12" borderId="9" xfId="0" applyFont="1" applyFill="1" applyBorder="1" applyAlignment="1"/>
    <xf numFmtId="0" fontId="8" fillId="12" borderId="10" xfId="0" applyFont="1" applyFill="1" applyBorder="1" applyAlignment="1">
      <alignment horizontal="center"/>
    </xf>
    <xf numFmtId="189" fontId="8" fillId="12" borderId="21" xfId="0" applyNumberFormat="1" applyFont="1" applyFill="1" applyBorder="1" applyAlignment="1">
      <alignment horizontal="right"/>
    </xf>
    <xf numFmtId="189" fontId="7" fillId="12" borderId="21" xfId="0" applyNumberFormat="1" applyFont="1" applyFill="1" applyBorder="1" applyAlignment="1">
      <alignment horizontal="right"/>
    </xf>
    <xf numFmtId="189" fontId="7" fillId="2" borderId="21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89" fontId="8" fillId="2" borderId="21" xfId="0" applyNumberFormat="1" applyFont="1" applyFill="1" applyBorder="1" applyAlignment="1">
      <alignment horizontal="right"/>
    </xf>
    <xf numFmtId="189" fontId="2" fillId="2" borderId="21" xfId="0" applyNumberFormat="1" applyFont="1" applyFill="1" applyBorder="1" applyAlignment="1"/>
    <xf numFmtId="189" fontId="2" fillId="2" borderId="20" xfId="0" applyNumberFormat="1" applyFont="1" applyFill="1" applyBorder="1" applyAlignment="1"/>
    <xf numFmtId="189" fontId="5" fillId="13" borderId="20" xfId="0" applyNumberFormat="1" applyFont="1" applyFill="1" applyBorder="1" applyAlignment="1">
      <alignment horizontal="right"/>
    </xf>
    <xf numFmtId="189" fontId="5" fillId="13" borderId="2" xfId="0" applyNumberFormat="1" applyFont="1" applyFill="1" applyBorder="1" applyAlignment="1">
      <alignment horizontal="right"/>
    </xf>
    <xf numFmtId="189" fontId="2" fillId="15" borderId="21" xfId="0" applyNumberFormat="1" applyFont="1" applyFill="1" applyBorder="1" applyAlignment="1"/>
    <xf numFmtId="0" fontId="6" fillId="16" borderId="9" xfId="0" applyFont="1" applyFill="1" applyBorder="1" applyAlignment="1"/>
    <xf numFmtId="189" fontId="5" fillId="16" borderId="21" xfId="0" applyNumberFormat="1" applyFont="1" applyFill="1" applyBorder="1" applyAlignment="1">
      <alignment horizontal="right"/>
    </xf>
    <xf numFmtId="0" fontId="8" fillId="16" borderId="9" xfId="0" applyFont="1" applyFill="1" applyBorder="1" applyAlignment="1"/>
    <xf numFmtId="0" fontId="8" fillId="16" borderId="10" xfId="0" applyFont="1" applyFill="1" applyBorder="1" applyAlignment="1">
      <alignment horizontal="center"/>
    </xf>
    <xf numFmtId="189" fontId="8" fillId="16" borderId="21" xfId="0" applyNumberFormat="1" applyFont="1" applyFill="1" applyBorder="1" applyAlignment="1">
      <alignment horizontal="right"/>
    </xf>
    <xf numFmtId="189" fontId="7" fillId="16" borderId="21" xfId="0" applyNumberFormat="1" applyFont="1" applyFill="1" applyBorder="1" applyAlignment="1">
      <alignment horizontal="right"/>
    </xf>
    <xf numFmtId="189" fontId="2" fillId="18" borderId="21" xfId="0" applyNumberFormat="1" applyFont="1" applyFill="1" applyBorder="1" applyAlignment="1"/>
    <xf numFmtId="189" fontId="2" fillId="19" borderId="21" xfId="0" applyNumberFormat="1" applyFont="1" applyFill="1" applyBorder="1" applyAlignment="1"/>
    <xf numFmtId="0" fontId="6" fillId="20" borderId="9" xfId="0" applyFont="1" applyFill="1" applyBorder="1" applyAlignment="1"/>
    <xf numFmtId="189" fontId="5" fillId="20" borderId="21" xfId="0" applyNumberFormat="1" applyFont="1" applyFill="1" applyBorder="1" applyAlignment="1">
      <alignment horizontal="right"/>
    </xf>
    <xf numFmtId="0" fontId="8" fillId="20" borderId="9" xfId="0" applyFont="1" applyFill="1" applyBorder="1" applyAlignment="1"/>
    <xf numFmtId="0" fontId="8" fillId="20" borderId="10" xfId="0" applyFont="1" applyFill="1" applyBorder="1" applyAlignment="1">
      <alignment horizontal="center"/>
    </xf>
    <xf numFmtId="189" fontId="8" fillId="20" borderId="21" xfId="0" applyNumberFormat="1" applyFont="1" applyFill="1" applyBorder="1" applyAlignment="1">
      <alignment horizontal="right"/>
    </xf>
    <xf numFmtId="189" fontId="7" fillId="20" borderId="21" xfId="0" applyNumberFormat="1" applyFont="1" applyFill="1" applyBorder="1" applyAlignment="1">
      <alignment horizontal="right"/>
    </xf>
    <xf numFmtId="189" fontId="7" fillId="2" borderId="20" xfId="0" applyNumberFormat="1" applyFont="1" applyFill="1" applyBorder="1" applyAlignment="1">
      <alignment horizontal="right"/>
    </xf>
    <xf numFmtId="189" fontId="2" fillId="22" borderId="21" xfId="0" applyNumberFormat="1" applyFont="1" applyFill="1" applyBorder="1" applyAlignment="1"/>
    <xf numFmtId="189" fontId="2" fillId="12" borderId="21" xfId="0" applyNumberFormat="1" applyFont="1" applyFill="1" applyBorder="1" applyAlignment="1"/>
    <xf numFmtId="0" fontId="6" fillId="2" borderId="9" xfId="0" applyFont="1" applyFill="1" applyBorder="1" applyAlignment="1"/>
    <xf numFmtId="189" fontId="5" fillId="2" borderId="21" xfId="0" applyNumberFormat="1" applyFont="1" applyFill="1" applyBorder="1" applyAlignment="1">
      <alignment horizontal="right"/>
    </xf>
    <xf numFmtId="0" fontId="6" fillId="23" borderId="9" xfId="0" quotePrefix="1" applyFont="1" applyFill="1" applyBorder="1" applyAlignment="1"/>
    <xf numFmtId="189" fontId="2" fillId="0" borderId="21" xfId="0" applyNumberFormat="1" applyFont="1" applyBorder="1" applyAlignment="1"/>
    <xf numFmtId="188" fontId="5" fillId="22" borderId="11" xfId="0" applyNumberFormat="1" applyFont="1" applyFill="1" applyBorder="1" applyAlignment="1"/>
    <xf numFmtId="188" fontId="2" fillId="22" borderId="12" xfId="0" applyNumberFormat="1" applyFont="1" applyFill="1" applyBorder="1" applyAlignment="1"/>
    <xf numFmtId="190" fontId="2" fillId="22" borderId="12" xfId="0" applyNumberFormat="1" applyFont="1" applyFill="1" applyBorder="1" applyAlignment="1"/>
    <xf numFmtId="0" fontId="2" fillId="22" borderId="12" xfId="0" applyFont="1" applyFill="1" applyBorder="1" applyAlignment="1"/>
    <xf numFmtId="187" fontId="2" fillId="22" borderId="12" xfId="0" applyNumberFormat="1" applyFont="1" applyFill="1" applyBorder="1" applyAlignment="1"/>
    <xf numFmtId="189" fontId="2" fillId="22" borderId="12" xfId="0" applyNumberFormat="1" applyFont="1" applyFill="1" applyBorder="1" applyAlignment="1"/>
    <xf numFmtId="188" fontId="9" fillId="2" borderId="9" xfId="0" applyNumberFormat="1" applyFont="1" applyFill="1" applyBorder="1" applyAlignment="1"/>
    <xf numFmtId="187" fontId="8" fillId="24" borderId="10" xfId="0" applyNumberFormat="1" applyFont="1" applyFill="1" applyBorder="1" applyAlignment="1">
      <alignment horizontal="right"/>
    </xf>
    <xf numFmtId="188" fontId="8" fillId="0" borderId="2" xfId="0" applyNumberFormat="1" applyFont="1" applyBorder="1" applyAlignment="1">
      <alignment horizontal="center"/>
    </xf>
    <xf numFmtId="187" fontId="8" fillId="24" borderId="2" xfId="0" applyNumberFormat="1" applyFont="1" applyFill="1" applyBorder="1" applyAlignment="1">
      <alignment horizontal="right"/>
    </xf>
    <xf numFmtId="189" fontId="8" fillId="2" borderId="2" xfId="0" applyNumberFormat="1" applyFont="1" applyFill="1" applyBorder="1" applyAlignment="1">
      <alignment horizontal="right"/>
    </xf>
    <xf numFmtId="189" fontId="2" fillId="25" borderId="21" xfId="0" applyNumberFormat="1" applyFont="1" applyFill="1" applyBorder="1" applyAlignment="1"/>
    <xf numFmtId="189" fontId="2" fillId="23" borderId="21" xfId="0" applyNumberFormat="1" applyFont="1" applyFill="1" applyBorder="1" applyAlignment="1"/>
    <xf numFmtId="0" fontId="8" fillId="2" borderId="10" xfId="0" applyFont="1" applyFill="1" applyBorder="1" applyAlignment="1">
      <alignment horizontal="center" wrapText="1"/>
    </xf>
    <xf numFmtId="189" fontId="2" fillId="26" borderId="21" xfId="0" applyNumberFormat="1" applyFont="1" applyFill="1" applyBorder="1" applyAlignment="1"/>
    <xf numFmtId="0" fontId="6" fillId="2" borderId="9" xfId="0" quotePrefix="1" applyFont="1" applyFill="1" applyBorder="1" applyAlignment="1"/>
    <xf numFmtId="189" fontId="5" fillId="24" borderId="10" xfId="0" applyNumberFormat="1" applyFont="1" applyFill="1" applyBorder="1" applyAlignment="1">
      <alignment horizontal="right"/>
    </xf>
    <xf numFmtId="0" fontId="7" fillId="2" borderId="12" xfId="0" applyFont="1" applyFill="1" applyBorder="1" applyAlignment="1"/>
    <xf numFmtId="189" fontId="7" fillId="24" borderId="10" xfId="0" applyNumberFormat="1" applyFont="1" applyFill="1" applyBorder="1" applyAlignment="1">
      <alignment horizontal="right"/>
    </xf>
    <xf numFmtId="188" fontId="39" fillId="26" borderId="8" xfId="0" applyNumberFormat="1" applyFont="1" applyFill="1" applyBorder="1" applyAlignment="1"/>
    <xf numFmtId="188" fontId="39" fillId="26" borderId="9" xfId="0" applyNumberFormat="1" applyFont="1" applyFill="1" applyBorder="1" applyAlignment="1"/>
    <xf numFmtId="0" fontId="16" fillId="26" borderId="9" xfId="0" applyFont="1" applyFill="1" applyBorder="1" applyAlignment="1"/>
    <xf numFmtId="0" fontId="39" fillId="26" borderId="9" xfId="0" applyFont="1" applyFill="1" applyBorder="1" applyAlignment="1"/>
    <xf numFmtId="0" fontId="39" fillId="26" borderId="10" xfId="0" applyFont="1" applyFill="1" applyBorder="1" applyAlignment="1"/>
    <xf numFmtId="0" fontId="16" fillId="26" borderId="10" xfId="0" applyFont="1" applyFill="1" applyBorder="1" applyAlignment="1">
      <alignment horizontal="center" wrapText="1"/>
    </xf>
    <xf numFmtId="187" fontId="16" fillId="26" borderId="10" xfId="0" applyNumberFormat="1" applyFont="1" applyFill="1" applyBorder="1" applyAlignment="1">
      <alignment horizontal="right"/>
    </xf>
    <xf numFmtId="189" fontId="16" fillId="26" borderId="10" xfId="0" applyNumberFormat="1" applyFont="1" applyFill="1" applyBorder="1" applyAlignment="1">
      <alignment horizontal="right"/>
    </xf>
    <xf numFmtId="190" fontId="39" fillId="2" borderId="8" xfId="0" applyNumberFormat="1" applyFont="1" applyFill="1" applyBorder="1" applyAlignment="1"/>
    <xf numFmtId="0" fontId="39" fillId="2" borderId="9" xfId="0" applyFont="1" applyFill="1" applyBorder="1" applyAlignment="1"/>
    <xf numFmtId="0" fontId="16" fillId="2" borderId="9" xfId="0" applyFont="1" applyFill="1" applyBorder="1" applyAlignment="1"/>
    <xf numFmtId="0" fontId="18" fillId="2" borderId="9" xfId="0" applyFont="1" applyFill="1" applyBorder="1" applyAlignment="1"/>
    <xf numFmtId="0" fontId="39" fillId="2" borderId="10" xfId="0" applyFont="1" applyFill="1" applyBorder="1" applyAlignment="1"/>
    <xf numFmtId="187" fontId="39" fillId="0" borderId="10" xfId="0" applyNumberFormat="1" applyFont="1" applyBorder="1" applyAlignment="1"/>
    <xf numFmtId="189" fontId="39" fillId="0" borderId="10" xfId="0" applyNumberFormat="1" applyFont="1" applyBorder="1" applyAlignment="1"/>
    <xf numFmtId="189" fontId="16" fillId="2" borderId="21" xfId="0" applyNumberFormat="1" applyFont="1" applyFill="1" applyBorder="1" applyAlignment="1">
      <alignment horizontal="right"/>
    </xf>
    <xf numFmtId="189" fontId="16" fillId="2" borderId="10" xfId="0" applyNumberFormat="1" applyFont="1" applyFill="1" applyBorder="1" applyAlignment="1">
      <alignment horizontal="right"/>
    </xf>
    <xf numFmtId="188" fontId="39" fillId="2" borderId="9" xfId="0" applyNumberFormat="1" applyFont="1" applyFill="1" applyBorder="1" applyAlignment="1"/>
    <xf numFmtId="188" fontId="39" fillId="2" borderId="8" xfId="0" applyNumberFormat="1" applyFont="1" applyFill="1" applyBorder="1" applyAlignment="1"/>
    <xf numFmtId="187" fontId="39" fillId="2" borderId="10" xfId="0" applyNumberFormat="1" applyFont="1" applyFill="1" applyBorder="1" applyAlignment="1"/>
    <xf numFmtId="189" fontId="39" fillId="2" borderId="10" xfId="0" applyNumberFormat="1" applyFont="1" applyFill="1" applyBorder="1" applyAlignment="1"/>
    <xf numFmtId="188" fontId="39" fillId="0" borderId="8" xfId="0" applyNumberFormat="1" applyFont="1" applyBorder="1" applyAlignment="1"/>
    <xf numFmtId="188" fontId="39" fillId="0" borderId="9" xfId="0" applyNumberFormat="1" applyFont="1" applyBorder="1" applyAlignment="1"/>
    <xf numFmtId="188" fontId="16" fillId="2" borderId="9" xfId="0" applyNumberFormat="1" applyFont="1" applyFill="1" applyBorder="1" applyAlignment="1"/>
    <xf numFmtId="0" fontId="18" fillId="23" borderId="9" xfId="0" quotePrefix="1" applyFont="1" applyFill="1" applyBorder="1" applyAlignment="1"/>
    <xf numFmtId="0" fontId="39" fillId="23" borderId="9" xfId="0" applyFont="1" applyFill="1" applyBorder="1" applyAlignment="1"/>
    <xf numFmtId="0" fontId="39" fillId="23" borderId="10" xfId="0" applyFont="1" applyFill="1" applyBorder="1" applyAlignment="1"/>
    <xf numFmtId="0" fontId="39" fillId="0" borderId="10" xfId="0" applyFont="1" applyBorder="1" applyAlignment="1"/>
    <xf numFmtId="0" fontId="39" fillId="0" borderId="9" xfId="0" applyFont="1" applyBorder="1" applyAlignment="1"/>
    <xf numFmtId="0" fontId="8" fillId="0" borderId="10" xfId="0" applyFont="1" applyBorder="1" applyAlignment="1">
      <alignment horizontal="center"/>
    </xf>
    <xf numFmtId="188" fontId="8" fillId="0" borderId="9" xfId="0" quotePrefix="1" applyNumberFormat="1" applyFont="1" applyBorder="1" applyAlignment="1"/>
    <xf numFmtId="0" fontId="8" fillId="0" borderId="9" xfId="0" quotePrefix="1" applyFont="1" applyBorder="1" applyAlignment="1"/>
    <xf numFmtId="0" fontId="18" fillId="2" borderId="9" xfId="0" quotePrefix="1" applyFont="1" applyFill="1" applyBorder="1" applyAlignment="1"/>
    <xf numFmtId="188" fontId="1" fillId="25" borderId="8" xfId="0" applyNumberFormat="1" applyFont="1" applyFill="1" applyBorder="1" applyAlignment="1"/>
    <xf numFmtId="188" fontId="40" fillId="25" borderId="9" xfId="0" applyNumberFormat="1" applyFont="1" applyFill="1" applyBorder="1" applyAlignment="1"/>
    <xf numFmtId="0" fontId="40" fillId="25" borderId="9" xfId="0" applyFont="1" applyFill="1" applyBorder="1" applyAlignment="1"/>
    <xf numFmtId="0" fontId="40" fillId="25" borderId="10" xfId="0" applyFont="1" applyFill="1" applyBorder="1" applyAlignment="1"/>
    <xf numFmtId="187" fontId="40" fillId="25" borderId="10" xfId="0" applyNumberFormat="1" applyFont="1" applyFill="1" applyBorder="1" applyAlignment="1"/>
    <xf numFmtId="189" fontId="40" fillId="25" borderId="10" xfId="0" applyNumberFormat="1" applyFont="1" applyFill="1" applyBorder="1" applyAlignment="1"/>
    <xf numFmtId="189" fontId="40" fillId="25" borderId="21" xfId="0" applyNumberFormat="1" applyFont="1" applyFill="1" applyBorder="1" applyAlignment="1"/>
    <xf numFmtId="188" fontId="40" fillId="23" borderId="8" xfId="0" applyNumberFormat="1" applyFont="1" applyFill="1" applyBorder="1" applyAlignment="1"/>
    <xf numFmtId="0" fontId="1" fillId="23" borderId="9" xfId="0" applyFont="1" applyFill="1" applyBorder="1" applyAlignment="1"/>
    <xf numFmtId="188" fontId="40" fillId="23" borderId="9" xfId="0" applyNumberFormat="1" applyFont="1" applyFill="1" applyBorder="1" applyAlignment="1"/>
    <xf numFmtId="0" fontId="40" fillId="23" borderId="9" xfId="0" applyFont="1" applyFill="1" applyBorder="1" applyAlignment="1"/>
    <xf numFmtId="0" fontId="40" fillId="23" borderId="10" xfId="0" applyFont="1" applyFill="1" applyBorder="1" applyAlignment="1"/>
    <xf numFmtId="0" fontId="1" fillId="23" borderId="10" xfId="0" applyFont="1" applyFill="1" applyBorder="1" applyAlignment="1">
      <alignment horizontal="center" wrapText="1"/>
    </xf>
    <xf numFmtId="187" fontId="1" fillId="23" borderId="10" xfId="0" applyNumberFormat="1" applyFont="1" applyFill="1" applyBorder="1" applyAlignment="1"/>
    <xf numFmtId="189" fontId="1" fillId="23" borderId="10" xfId="0" applyNumberFormat="1" applyFont="1" applyFill="1" applyBorder="1" applyAlignment="1">
      <alignment horizontal="right"/>
    </xf>
    <xf numFmtId="189" fontId="40" fillId="23" borderId="21" xfId="0" applyNumberFormat="1" applyFont="1" applyFill="1" applyBorder="1" applyAlignment="1"/>
    <xf numFmtId="189" fontId="40" fillId="23" borderId="10" xfId="0" applyNumberFormat="1" applyFont="1" applyFill="1" applyBorder="1" applyAlignment="1"/>
    <xf numFmtId="190" fontId="40" fillId="2" borderId="8" xfId="0" applyNumberFormat="1" applyFont="1" applyFill="1" applyBorder="1" applyAlignment="1"/>
    <xf numFmtId="0" fontId="40" fillId="2" borderId="9" xfId="0" applyFont="1" applyFill="1" applyBorder="1" applyAlignment="1"/>
    <xf numFmtId="0" fontId="1" fillId="2" borderId="9" xfId="0" applyFont="1" applyFill="1" applyBorder="1" applyAlignment="1"/>
    <xf numFmtId="0" fontId="41" fillId="2" borderId="9" xfId="0" applyFont="1" applyFill="1" applyBorder="1" applyAlignment="1"/>
    <xf numFmtId="0" fontId="40" fillId="2" borderId="10" xfId="0" applyFont="1" applyFill="1" applyBorder="1" applyAlignment="1"/>
    <xf numFmtId="188" fontId="1" fillId="2" borderId="10" xfId="0" applyNumberFormat="1" applyFont="1" applyFill="1" applyBorder="1" applyAlignment="1">
      <alignment horizontal="center"/>
    </xf>
    <xf numFmtId="187" fontId="40" fillId="2" borderId="10" xfId="0" applyNumberFormat="1" applyFont="1" applyFill="1" applyBorder="1" applyAlignment="1"/>
    <xf numFmtId="189" fontId="40" fillId="2" borderId="10" xfId="0" applyNumberFormat="1" applyFont="1" applyFill="1" applyBorder="1" applyAlignment="1"/>
    <xf numFmtId="189" fontId="1" fillId="2" borderId="21" xfId="0" applyNumberFormat="1" applyFont="1" applyFill="1" applyBorder="1" applyAlignment="1">
      <alignment horizontal="right"/>
    </xf>
    <xf numFmtId="189" fontId="1" fillId="2" borderId="10" xfId="0" applyNumberFormat="1" applyFont="1" applyFill="1" applyBorder="1" applyAlignment="1">
      <alignment horizontal="right"/>
    </xf>
    <xf numFmtId="0" fontId="42" fillId="2" borderId="9" xfId="0" applyFont="1" applyFill="1" applyBorder="1" applyAlignment="1"/>
    <xf numFmtId="188" fontId="42" fillId="2" borderId="10" xfId="0" applyNumberFormat="1" applyFont="1" applyFill="1" applyBorder="1" applyAlignment="1">
      <alignment horizontal="center"/>
    </xf>
    <xf numFmtId="189" fontId="42" fillId="2" borderId="21" xfId="0" applyNumberFormat="1" applyFont="1" applyFill="1" applyBorder="1" applyAlignment="1">
      <alignment horizontal="right"/>
    </xf>
    <xf numFmtId="189" fontId="42" fillId="2" borderId="10" xfId="0" applyNumberFormat="1" applyFont="1" applyFill="1" applyBorder="1" applyAlignment="1">
      <alignment horizontal="right"/>
    </xf>
    <xf numFmtId="0" fontId="43" fillId="2" borderId="9" xfId="0" applyFont="1" applyFill="1" applyBorder="1" applyAlignment="1"/>
    <xf numFmtId="188" fontId="42" fillId="0" borderId="10" xfId="0" applyNumberFormat="1" applyFont="1" applyBorder="1" applyAlignment="1">
      <alignment horizontal="center" wrapText="1"/>
    </xf>
    <xf numFmtId="187" fontId="40" fillId="0" borderId="10" xfId="0" applyNumberFormat="1" applyFont="1" applyBorder="1" applyAlignment="1"/>
    <xf numFmtId="189" fontId="40" fillId="0" borderId="10" xfId="0" applyNumberFormat="1" applyFont="1" applyBorder="1" applyAlignment="1"/>
    <xf numFmtId="188" fontId="42" fillId="0" borderId="10" xfId="0" applyNumberFormat="1" applyFont="1" applyBorder="1" applyAlignment="1">
      <alignment horizontal="center"/>
    </xf>
    <xf numFmtId="188" fontId="40" fillId="0" borderId="8" xfId="0" applyNumberFormat="1" applyFont="1" applyBorder="1" applyAlignment="1"/>
    <xf numFmtId="188" fontId="40" fillId="0" borderId="9" xfId="0" applyNumberFormat="1" applyFont="1" applyBorder="1" applyAlignment="1"/>
    <xf numFmtId="0" fontId="41" fillId="23" borderId="9" xfId="0" quotePrefix="1" applyFont="1" applyFill="1" applyBorder="1" applyAlignment="1"/>
    <xf numFmtId="0" fontId="40" fillId="0" borderId="10" xfId="0" applyFont="1" applyBorder="1" applyAlignment="1"/>
    <xf numFmtId="189" fontId="40" fillId="0" borderId="21" xfId="0" applyNumberFormat="1" applyFont="1" applyBorder="1" applyAlignment="1"/>
    <xf numFmtId="46" fontId="2" fillId="2" borderId="11" xfId="0" applyNumberFormat="1" applyFont="1" applyFill="1" applyBorder="1" applyAlignment="1"/>
    <xf numFmtId="188" fontId="2" fillId="2" borderId="12" xfId="0" applyNumberFormat="1" applyFont="1" applyFill="1" applyBorder="1" applyAlignment="1"/>
    <xf numFmtId="0" fontId="7" fillId="2" borderId="12" xfId="0" quotePrefix="1" applyFont="1" applyFill="1" applyBorder="1" applyAlignment="1"/>
    <xf numFmtId="0" fontId="2" fillId="2" borderId="12" xfId="0" applyFont="1" applyFill="1" applyBorder="1" applyAlignment="1"/>
    <xf numFmtId="0" fontId="2" fillId="2" borderId="13" xfId="0" applyFont="1" applyFill="1" applyBorder="1" applyAlignment="1"/>
    <xf numFmtId="188" fontId="7" fillId="2" borderId="13" xfId="0" applyNumberFormat="1" applyFont="1" applyFill="1" applyBorder="1" applyAlignment="1">
      <alignment horizontal="center"/>
    </xf>
    <xf numFmtId="187" fontId="7" fillId="2" borderId="13" xfId="0" applyNumberFormat="1" applyFont="1" applyFill="1" applyBorder="1" applyAlignment="1">
      <alignment horizontal="right"/>
    </xf>
    <xf numFmtId="0" fontId="8" fillId="0" borderId="1" xfId="0" quotePrefix="1" applyFont="1" applyBorder="1" applyAlignment="1"/>
    <xf numFmtId="0" fontId="8" fillId="2" borderId="2" xfId="0" applyFont="1" applyFill="1" applyBorder="1" applyAlignment="1">
      <alignment horizontal="center"/>
    </xf>
    <xf numFmtId="189" fontId="8" fillId="0" borderId="2" xfId="0" applyNumberFormat="1" applyFont="1" applyBorder="1" applyAlignment="1">
      <alignment horizontal="right"/>
    </xf>
    <xf numFmtId="189" fontId="2" fillId="0" borderId="20" xfId="0" applyNumberFormat="1" applyFont="1" applyBorder="1" applyAlignment="1"/>
    <xf numFmtId="189" fontId="2" fillId="29" borderId="21" xfId="0" applyNumberFormat="1" applyFont="1" applyFill="1" applyBorder="1" applyAlignment="1"/>
    <xf numFmtId="189" fontId="2" fillId="30" borderId="21" xfId="0" applyNumberFormat="1" applyFont="1" applyFill="1" applyBorder="1" applyAlignment="1"/>
    <xf numFmtId="189" fontId="2" fillId="32" borderId="21" xfId="0" applyNumberFormat="1" applyFont="1" applyFill="1" applyBorder="1" applyAlignment="1"/>
    <xf numFmtId="189" fontId="2" fillId="33" borderId="21" xfId="0" applyNumberFormat="1" applyFont="1" applyFill="1" applyBorder="1" applyAlignment="1"/>
    <xf numFmtId="0" fontId="7" fillId="10" borderId="9" xfId="0" applyFont="1" applyFill="1" applyBorder="1" applyAlignment="1"/>
    <xf numFmtId="187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189" fontId="7" fillId="10" borderId="10" xfId="0" applyNumberFormat="1" applyFont="1" applyFill="1" applyBorder="1" applyAlignment="1">
      <alignment horizontal="right"/>
    </xf>
    <xf numFmtId="0" fontId="8" fillId="10" borderId="9" xfId="0" applyFont="1" applyFill="1" applyBorder="1" applyAlignment="1"/>
    <xf numFmtId="0" fontId="8" fillId="10" borderId="10" xfId="0" applyFont="1" applyFill="1" applyBorder="1" applyAlignment="1">
      <alignment horizontal="center"/>
    </xf>
    <xf numFmtId="187" fontId="8" fillId="10" borderId="10" xfId="0" applyNumberFormat="1" applyFont="1" applyFill="1" applyBorder="1" applyAlignment="1">
      <alignment horizontal="right"/>
    </xf>
    <xf numFmtId="189" fontId="8" fillId="10" borderId="10" xfId="0" applyNumberFormat="1" applyFont="1" applyFill="1" applyBorder="1" applyAlignment="1">
      <alignment horizontal="right"/>
    </xf>
    <xf numFmtId="187" fontId="5" fillId="33" borderId="22" xfId="0" applyNumberFormat="1" applyFont="1" applyFill="1" applyBorder="1" applyAlignment="1">
      <alignment horizontal="right"/>
    </xf>
    <xf numFmtId="187" fontId="5" fillId="33" borderId="13" xfId="0" applyNumberFormat="1" applyFont="1" applyFill="1" applyBorder="1" applyAlignment="1">
      <alignment horizontal="right"/>
    </xf>
    <xf numFmtId="189" fontId="5" fillId="33" borderId="13" xfId="0" applyNumberFormat="1" applyFont="1" applyFill="1" applyBorder="1" applyAlignment="1">
      <alignment horizontal="right"/>
    </xf>
    <xf numFmtId="188" fontId="2" fillId="26" borderId="11" xfId="0" applyNumberFormat="1" applyFont="1" applyFill="1" applyBorder="1" applyAlignment="1"/>
    <xf numFmtId="0" fontId="2" fillId="26" borderId="12" xfId="0" applyFont="1" applyFill="1" applyBorder="1" applyAlignment="1"/>
    <xf numFmtId="188" fontId="2" fillId="26" borderId="12" xfId="0" applyNumberFormat="1" applyFont="1" applyFill="1" applyBorder="1" applyAlignment="1"/>
    <xf numFmtId="188" fontId="6" fillId="26" borderId="12" xfId="0" applyNumberFormat="1" applyFont="1" applyFill="1" applyBorder="1" applyAlignment="1"/>
    <xf numFmtId="0" fontId="2" fillId="26" borderId="13" xfId="0" applyFont="1" applyFill="1" applyBorder="1" applyAlignment="1"/>
    <xf numFmtId="0" fontId="5" fillId="26" borderId="13" xfId="0" applyFont="1" applyFill="1" applyBorder="1" applyAlignment="1">
      <alignment horizontal="center" wrapText="1"/>
    </xf>
    <xf numFmtId="187" fontId="5" fillId="26" borderId="13" xfId="0" applyNumberFormat="1" applyFont="1" applyFill="1" applyBorder="1" applyAlignment="1">
      <alignment horizontal="right"/>
    </xf>
    <xf numFmtId="189" fontId="5" fillId="26" borderId="13" xfId="0" applyNumberFormat="1" applyFont="1" applyFill="1" applyBorder="1" applyAlignment="1">
      <alignment horizontal="right"/>
    </xf>
    <xf numFmtId="0" fontId="6" fillId="26" borderId="9" xfId="0" applyFont="1" applyFill="1" applyBorder="1" applyAlignment="1"/>
    <xf numFmtId="193" fontId="7" fillId="2" borderId="10" xfId="0" applyNumberFormat="1" applyFont="1" applyFill="1" applyBorder="1" applyAlignment="1">
      <alignment horizontal="right"/>
    </xf>
    <xf numFmtId="190" fontId="2" fillId="33" borderId="17" xfId="0" applyNumberFormat="1" applyFont="1" applyFill="1" applyBorder="1" applyAlignment="1"/>
    <xf numFmtId="188" fontId="5" fillId="33" borderId="18" xfId="0" applyNumberFormat="1" applyFont="1" applyFill="1" applyBorder="1" applyAlignment="1"/>
    <xf numFmtId="190" fontId="2" fillId="33" borderId="18" xfId="0" applyNumberFormat="1" applyFont="1" applyFill="1" applyBorder="1" applyAlignment="1"/>
    <xf numFmtId="188" fontId="2" fillId="33" borderId="18" xfId="0" applyNumberFormat="1" applyFont="1" applyFill="1" applyBorder="1" applyAlignment="1"/>
    <xf numFmtId="0" fontId="2" fillId="33" borderId="18" xfId="0" applyFont="1" applyFill="1" applyBorder="1" applyAlignment="1"/>
    <xf numFmtId="0" fontId="2" fillId="33" borderId="19" xfId="0" applyFont="1" applyFill="1" applyBorder="1" applyAlignment="1"/>
    <xf numFmtId="188" fontId="5" fillId="33" borderId="19" xfId="0" applyNumberFormat="1" applyFont="1" applyFill="1" applyBorder="1" applyAlignment="1">
      <alignment horizontal="center" wrapText="1"/>
    </xf>
    <xf numFmtId="187" fontId="5" fillId="33" borderId="19" xfId="0" applyNumberFormat="1" applyFont="1" applyFill="1" applyBorder="1" applyAlignment="1">
      <alignment horizontal="right"/>
    </xf>
    <xf numFmtId="189" fontId="5" fillId="33" borderId="19" xfId="0" applyNumberFormat="1" applyFont="1" applyFill="1" applyBorder="1" applyAlignment="1">
      <alignment horizontal="right"/>
    </xf>
    <xf numFmtId="188" fontId="6" fillId="2" borderId="9" xfId="0" applyNumberFormat="1" applyFont="1" applyFill="1" applyBorder="1" applyAlignment="1"/>
    <xf numFmtId="188" fontId="6" fillId="23" borderId="9" xfId="0" quotePrefix="1" applyNumberFormat="1" applyFont="1" applyFill="1" applyBorder="1" applyAlignment="1"/>
    <xf numFmtId="188" fontId="40" fillId="2" borderId="9" xfId="0" applyNumberFormat="1" applyFont="1" applyFill="1" applyBorder="1" applyAlignment="1"/>
    <xf numFmtId="188" fontId="42" fillId="2" borderId="9" xfId="0" applyNumberFormat="1" applyFont="1" applyFill="1" applyBorder="1" applyAlignment="1"/>
    <xf numFmtId="188" fontId="40" fillId="2" borderId="10" xfId="0" applyNumberFormat="1" applyFont="1" applyFill="1" applyBorder="1" applyAlignment="1"/>
    <xf numFmtId="187" fontId="42" fillId="2" borderId="10" xfId="0" applyNumberFormat="1" applyFont="1" applyFill="1" applyBorder="1" applyAlignment="1">
      <alignment horizontal="right"/>
    </xf>
    <xf numFmtId="189" fontId="40" fillId="2" borderId="21" xfId="0" applyNumberFormat="1" applyFont="1" applyFill="1" applyBorder="1" applyAlignment="1"/>
    <xf numFmtId="189" fontId="2" fillId="27" borderId="21" xfId="0" applyNumberFormat="1" applyFont="1" applyFill="1" applyBorder="1" applyAlignment="1"/>
    <xf numFmtId="189" fontId="2" fillId="27" borderId="20" xfId="0" applyNumberFormat="1" applyFont="1" applyFill="1" applyBorder="1" applyAlignment="1"/>
    <xf numFmtId="188" fontId="6" fillId="2" borderId="1" xfId="0" applyNumberFormat="1" applyFont="1" applyFill="1" applyBorder="1" applyAlignment="1"/>
    <xf numFmtId="188" fontId="6" fillId="2" borderId="9" xfId="0" quotePrefix="1" applyNumberFormat="1" applyFont="1" applyFill="1" applyBorder="1" applyAlignment="1"/>
    <xf numFmtId="191" fontId="2" fillId="2" borderId="10" xfId="0" applyNumberFormat="1" applyFont="1" applyFill="1" applyBorder="1" applyAlignment="1"/>
    <xf numFmtId="188" fontId="1" fillId="34" borderId="7" xfId="0" applyNumberFormat="1" applyFont="1" applyFill="1" applyBorder="1" applyAlignment="1"/>
    <xf numFmtId="188" fontId="40" fillId="34" borderId="1" xfId="0" applyNumberFormat="1" applyFont="1" applyFill="1" applyBorder="1" applyAlignment="1"/>
    <xf numFmtId="0" fontId="40" fillId="34" borderId="1" xfId="0" applyFont="1" applyFill="1" applyBorder="1" applyAlignment="1"/>
    <xf numFmtId="187" fontId="40" fillId="34" borderId="1" xfId="0" applyNumberFormat="1" applyFont="1" applyFill="1" applyBorder="1" applyAlignment="1"/>
    <xf numFmtId="189" fontId="40" fillId="34" borderId="1" xfId="0" applyNumberFormat="1" applyFont="1" applyFill="1" applyBorder="1" applyAlignment="1"/>
    <xf numFmtId="189" fontId="2" fillId="35" borderId="20" xfId="0" applyNumberFormat="1" applyFont="1" applyFill="1" applyBorder="1" applyAlignment="1"/>
    <xf numFmtId="188" fontId="1" fillId="36" borderId="8" xfId="0" applyNumberFormat="1" applyFont="1" applyFill="1" applyBorder="1" applyAlignment="1"/>
    <xf numFmtId="188" fontId="40" fillId="36" borderId="9" xfId="0" applyNumberFormat="1" applyFont="1" applyFill="1" applyBorder="1" applyAlignment="1"/>
    <xf numFmtId="0" fontId="40" fillId="36" borderId="9" xfId="0" applyFont="1" applyFill="1" applyBorder="1" applyAlignment="1"/>
    <xf numFmtId="0" fontId="40" fillId="36" borderId="10" xfId="0" applyFont="1" applyFill="1" applyBorder="1" applyAlignment="1"/>
    <xf numFmtId="187" fontId="40" fillId="36" borderId="10" xfId="0" applyNumberFormat="1" applyFont="1" applyFill="1" applyBorder="1" applyAlignment="1"/>
    <xf numFmtId="189" fontId="40" fillId="36" borderId="10" xfId="0" applyNumberFormat="1" applyFont="1" applyFill="1" applyBorder="1" applyAlignment="1"/>
    <xf numFmtId="189" fontId="2" fillId="36" borderId="23" xfId="0" applyNumberFormat="1" applyFont="1" applyFill="1" applyBorder="1" applyAlignment="1"/>
    <xf numFmtId="188" fontId="40" fillId="37" borderId="8" xfId="0" applyNumberFormat="1" applyFont="1" applyFill="1" applyBorder="1" applyAlignment="1"/>
    <xf numFmtId="0" fontId="1" fillId="37" borderId="9" xfId="0" applyFont="1" applyFill="1" applyBorder="1" applyAlignment="1"/>
    <xf numFmtId="188" fontId="40" fillId="37" borderId="9" xfId="0" applyNumberFormat="1" applyFont="1" applyFill="1" applyBorder="1" applyAlignment="1"/>
    <xf numFmtId="0" fontId="40" fillId="37" borderId="9" xfId="0" applyFont="1" applyFill="1" applyBorder="1" applyAlignment="1"/>
    <xf numFmtId="0" fontId="40" fillId="37" borderId="10" xfId="0" applyFont="1" applyFill="1" applyBorder="1" applyAlignment="1"/>
    <xf numFmtId="0" fontId="1" fillId="37" borderId="10" xfId="0" applyFont="1" applyFill="1" applyBorder="1" applyAlignment="1">
      <alignment horizontal="center" wrapText="1"/>
    </xf>
    <xf numFmtId="187" fontId="1" fillId="37" borderId="10" xfId="0" applyNumberFormat="1" applyFont="1" applyFill="1" applyBorder="1" applyAlignment="1">
      <alignment horizontal="right"/>
    </xf>
    <xf numFmtId="189" fontId="1" fillId="37" borderId="10" xfId="0" applyNumberFormat="1" applyFont="1" applyFill="1" applyBorder="1" applyAlignment="1">
      <alignment horizontal="right"/>
    </xf>
    <xf numFmtId="189" fontId="2" fillId="37" borderId="21" xfId="0" applyNumberFormat="1" applyFont="1" applyFill="1" applyBorder="1" applyAlignment="1"/>
    <xf numFmtId="188" fontId="40" fillId="2" borderId="8" xfId="0" applyNumberFormat="1" applyFont="1" applyFill="1" applyBorder="1" applyAlignment="1"/>
    <xf numFmtId="0" fontId="42" fillId="0" borderId="9" xfId="0" applyFont="1" applyBorder="1" applyAlignment="1"/>
    <xf numFmtId="0" fontId="42" fillId="2" borderId="10" xfId="0" applyFont="1" applyFill="1" applyBorder="1" applyAlignment="1">
      <alignment horizontal="center" wrapText="1"/>
    </xf>
    <xf numFmtId="187" fontId="42" fillId="24" borderId="10" xfId="0" applyNumberFormat="1" applyFont="1" applyFill="1" applyBorder="1" applyAlignment="1">
      <alignment horizontal="right"/>
    </xf>
    <xf numFmtId="188" fontId="40" fillId="2" borderId="7" xfId="0" applyNumberFormat="1" applyFont="1" applyFill="1" applyBorder="1" applyAlignment="1"/>
    <xf numFmtId="0" fontId="40" fillId="2" borderId="1" xfId="0" applyFont="1" applyFill="1" applyBorder="1" applyAlignment="1"/>
    <xf numFmtId="188" fontId="40" fillId="2" borderId="1" xfId="0" applyNumberFormat="1" applyFont="1" applyFill="1" applyBorder="1" applyAlignment="1"/>
    <xf numFmtId="0" fontId="42" fillId="0" borderId="1" xfId="0" applyFont="1" applyBorder="1" applyAlignment="1"/>
    <xf numFmtId="188" fontId="40" fillId="0" borderId="1" xfId="0" applyNumberFormat="1" applyFont="1" applyBorder="1" applyAlignment="1"/>
    <xf numFmtId="0" fontId="40" fillId="2" borderId="2" xfId="0" applyFont="1" applyFill="1" applyBorder="1" applyAlignment="1"/>
    <xf numFmtId="0" fontId="42" fillId="2" borderId="2" xfId="0" applyFont="1" applyFill="1" applyBorder="1" applyAlignment="1">
      <alignment horizontal="center" wrapText="1"/>
    </xf>
    <xf numFmtId="187" fontId="42" fillId="2" borderId="2" xfId="0" applyNumberFormat="1" applyFont="1" applyFill="1" applyBorder="1" applyAlignment="1">
      <alignment horizontal="right"/>
    </xf>
    <xf numFmtId="187" fontId="42" fillId="24" borderId="2" xfId="0" applyNumberFormat="1" applyFont="1" applyFill="1" applyBorder="1" applyAlignment="1">
      <alignment horizontal="right"/>
    </xf>
    <xf numFmtId="189" fontId="42" fillId="2" borderId="2" xfId="0" applyNumberFormat="1" applyFont="1" applyFill="1" applyBorder="1" applyAlignment="1">
      <alignment horizontal="right"/>
    </xf>
    <xf numFmtId="188" fontId="2" fillId="27" borderId="11" xfId="0" applyNumberFormat="1" applyFont="1" applyFill="1" applyBorder="1" applyAlignment="1"/>
    <xf numFmtId="188" fontId="2" fillId="27" borderId="12" xfId="0" applyNumberFormat="1" applyFont="1" applyFill="1" applyBorder="1" applyAlignment="1"/>
    <xf numFmtId="0" fontId="2" fillId="27" borderId="12" xfId="0" applyFont="1" applyFill="1" applyBorder="1" applyAlignment="1"/>
    <xf numFmtId="0" fontId="2" fillId="27" borderId="13" xfId="0" applyFont="1" applyFill="1" applyBorder="1" applyAlignment="1"/>
    <xf numFmtId="188" fontId="2" fillId="27" borderId="13" xfId="0" applyNumberFormat="1" applyFont="1" applyFill="1" applyBorder="1" applyAlignment="1"/>
    <xf numFmtId="187" fontId="2" fillId="27" borderId="13" xfId="0" applyNumberFormat="1" applyFont="1" applyFill="1" applyBorder="1" applyAlignment="1"/>
    <xf numFmtId="189" fontId="2" fillId="27" borderId="13" xfId="0" applyNumberFormat="1" applyFont="1" applyFill="1" applyBorder="1" applyAlignment="1"/>
    <xf numFmtId="187" fontId="2" fillId="37" borderId="10" xfId="0" applyNumberFormat="1" applyFont="1" applyFill="1" applyBorder="1" applyAlignment="1"/>
    <xf numFmtId="0" fontId="18" fillId="2" borderId="9" xfId="0" applyFont="1" applyFill="1" applyBorder="1" applyAlignment="1"/>
    <xf numFmtId="189" fontId="2" fillId="2" borderId="24" xfId="0" applyNumberFormat="1" applyFont="1" applyFill="1" applyBorder="1" applyAlignment="1"/>
    <xf numFmtId="189" fontId="2" fillId="38" borderId="20" xfId="0" applyNumberFormat="1" applyFont="1" applyFill="1" applyBorder="1" applyAlignment="1"/>
    <xf numFmtId="189" fontId="2" fillId="39" borderId="21" xfId="0" applyNumberFormat="1" applyFont="1" applyFill="1" applyBorder="1" applyAlignment="1"/>
    <xf numFmtId="189" fontId="2" fillId="40" borderId="21" xfId="0" applyNumberFormat="1" applyFont="1" applyFill="1" applyBorder="1" applyAlignment="1"/>
    <xf numFmtId="0" fontId="6" fillId="2" borderId="9" xfId="0" applyFont="1" applyFill="1" applyBorder="1" applyAlignment="1"/>
    <xf numFmtId="188" fontId="6" fillId="23" borderId="9" xfId="0" applyNumberFormat="1" applyFont="1" applyFill="1" applyBorder="1" applyAlignment="1"/>
    <xf numFmtId="0" fontId="6" fillId="23" borderId="9" xfId="0" applyFont="1" applyFill="1" applyBorder="1" applyAlignment="1"/>
    <xf numFmtId="192" fontId="2" fillId="2" borderId="21" xfId="0" applyNumberFormat="1" applyFont="1" applyFill="1" applyBorder="1" applyAlignment="1"/>
    <xf numFmtId="192" fontId="2" fillId="2" borderId="20" xfId="0" applyNumberFormat="1" applyFont="1" applyFill="1" applyBorder="1" applyAlignment="1"/>
    <xf numFmtId="188" fontId="7" fillId="39" borderId="10" xfId="0" applyNumberFormat="1" applyFont="1" applyFill="1" applyBorder="1" applyAlignment="1">
      <alignment horizontal="center"/>
    </xf>
    <xf numFmtId="187" fontId="7" fillId="39" borderId="10" xfId="0" applyNumberFormat="1" applyFont="1" applyFill="1" applyBorder="1" applyAlignment="1">
      <alignment horizontal="right"/>
    </xf>
    <xf numFmtId="0" fontId="18" fillId="23" borderId="9" xfId="0" applyFont="1" applyFill="1" applyBorder="1" applyAlignment="1"/>
    <xf numFmtId="188" fontId="42" fillId="0" borderId="9" xfId="0" applyNumberFormat="1" applyFont="1" applyBorder="1" applyAlignment="1"/>
    <xf numFmtId="0" fontId="40" fillId="0" borderId="9" xfId="0" applyFont="1" applyBorder="1" applyAlignment="1"/>
    <xf numFmtId="188" fontId="1" fillId="0" borderId="9" xfId="0" applyNumberFormat="1" applyFont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/>
    <xf numFmtId="0" fontId="21" fillId="0" borderId="0" xfId="0" applyFont="1" applyAlignment="1"/>
    <xf numFmtId="0" fontId="7" fillId="0" borderId="12" xfId="0" applyFont="1" applyBorder="1" applyAlignment="1"/>
    <xf numFmtId="188" fontId="16" fillId="34" borderId="7" xfId="0" applyNumberFormat="1" applyFont="1" applyFill="1" applyBorder="1" applyAlignment="1"/>
    <xf numFmtId="188" fontId="16" fillId="36" borderId="8" xfId="0" applyNumberFormat="1" applyFont="1" applyFill="1" applyBorder="1" applyAlignment="1"/>
    <xf numFmtId="0" fontId="16" fillId="37" borderId="9" xfId="0" applyFont="1" applyFill="1" applyBorder="1" applyAlignment="1"/>
    <xf numFmtId="0" fontId="16" fillId="37" borderId="10" xfId="0" applyFont="1" applyFill="1" applyBorder="1" applyAlignment="1">
      <alignment horizontal="center" wrapText="1"/>
    </xf>
    <xf numFmtId="187" fontId="16" fillId="37" borderId="10" xfId="0" applyNumberFormat="1" applyFont="1" applyFill="1" applyBorder="1" applyAlignment="1">
      <alignment horizontal="right"/>
    </xf>
    <xf numFmtId="189" fontId="16" fillId="37" borderId="10" xfId="0" applyNumberFormat="1" applyFont="1" applyFill="1" applyBorder="1" applyAlignment="1">
      <alignment horizontal="right"/>
    </xf>
    <xf numFmtId="188" fontId="16" fillId="2" borderId="10" xfId="0" applyNumberFormat="1" applyFont="1" applyFill="1" applyBorder="1" applyAlignment="1">
      <alignment horizontal="center"/>
    </xf>
    <xf numFmtId="0" fontId="44" fillId="2" borderId="9" xfId="0" applyFont="1" applyFill="1" applyBorder="1" applyAlignment="1"/>
    <xf numFmtId="0" fontId="8" fillId="0" borderId="1" xfId="0" applyFont="1" applyBorder="1" applyAlignment="1"/>
    <xf numFmtId="0" fontId="8" fillId="2" borderId="2" xfId="0" applyFont="1" applyFill="1" applyBorder="1" applyAlignment="1">
      <alignment horizontal="center" wrapText="1"/>
    </xf>
    <xf numFmtId="188" fontId="39" fillId="0" borderId="7" xfId="0" applyNumberFormat="1" applyFont="1" applyBorder="1" applyAlignment="1"/>
    <xf numFmtId="188" fontId="39" fillId="0" borderId="1" xfId="0" applyNumberFormat="1" applyFont="1" applyBorder="1" applyAlignment="1"/>
    <xf numFmtId="0" fontId="39" fillId="0" borderId="1" xfId="0" applyFont="1" applyBorder="1" applyAlignment="1"/>
    <xf numFmtId="0" fontId="39" fillId="0" borderId="2" xfId="0" applyFont="1" applyBorder="1" applyAlignment="1"/>
    <xf numFmtId="188" fontId="8" fillId="2" borderId="12" xfId="0" applyNumberFormat="1" applyFont="1" applyFill="1" applyBorder="1" applyAlignment="1"/>
    <xf numFmtId="188" fontId="40" fillId="26" borderId="8" xfId="0" applyNumberFormat="1" applyFont="1" applyFill="1" applyBorder="1" applyAlignment="1"/>
    <xf numFmtId="188" fontId="40" fillId="26" borderId="9" xfId="0" applyNumberFormat="1" applyFont="1" applyFill="1" applyBorder="1" applyAlignment="1"/>
    <xf numFmtId="0" fontId="1" fillId="26" borderId="9" xfId="0" applyFont="1" applyFill="1" applyBorder="1" applyAlignment="1"/>
    <xf numFmtId="0" fontId="40" fillId="26" borderId="9" xfId="0" applyFont="1" applyFill="1" applyBorder="1" applyAlignment="1"/>
    <xf numFmtId="0" fontId="40" fillId="26" borderId="10" xfId="0" applyFont="1" applyFill="1" applyBorder="1" applyAlignment="1"/>
    <xf numFmtId="0" fontId="1" fillId="26" borderId="10" xfId="0" applyFont="1" applyFill="1" applyBorder="1" applyAlignment="1">
      <alignment horizontal="center" wrapText="1"/>
    </xf>
    <xf numFmtId="187" fontId="1" fillId="26" borderId="10" xfId="0" applyNumberFormat="1" applyFont="1" applyFill="1" applyBorder="1" applyAlignment="1">
      <alignment horizontal="right"/>
    </xf>
    <xf numFmtId="189" fontId="1" fillId="26" borderId="10" xfId="0" applyNumberFormat="1" applyFont="1" applyFill="1" applyBorder="1" applyAlignment="1">
      <alignment horizontal="right"/>
    </xf>
    <xf numFmtId="188" fontId="1" fillId="0" borderId="10" xfId="0" applyNumberFormat="1" applyFont="1" applyBorder="1" applyAlignment="1">
      <alignment horizontal="center" wrapText="1"/>
    </xf>
    <xf numFmtId="188" fontId="7" fillId="2" borderId="12" xfId="0" applyNumberFormat="1" applyFont="1" applyFill="1" applyBorder="1" applyAlignment="1"/>
    <xf numFmtId="188" fontId="1" fillId="2" borderId="9" xfId="0" applyNumberFormat="1" applyFont="1" applyFill="1" applyBorder="1" applyAlignment="1"/>
    <xf numFmtId="0" fontId="42" fillId="0" borderId="10" xfId="0" applyFont="1" applyBorder="1" applyAlignment="1">
      <alignment horizontal="center"/>
    </xf>
    <xf numFmtId="188" fontId="42" fillId="0" borderId="9" xfId="0" quotePrefix="1" applyNumberFormat="1" applyFont="1" applyBorder="1" applyAlignment="1"/>
    <xf numFmtId="0" fontId="42" fillId="0" borderId="9" xfId="0" quotePrefix="1" applyFont="1" applyBorder="1" applyAlignment="1"/>
    <xf numFmtId="187" fontId="7" fillId="2" borderId="10" xfId="0" applyNumberFormat="1" applyFont="1" applyFill="1" applyBorder="1" applyAlignment="1"/>
    <xf numFmtId="46" fontId="40" fillId="2" borderId="11" xfId="0" applyNumberFormat="1" applyFont="1" applyFill="1" applyBorder="1" applyAlignment="1"/>
    <xf numFmtId="188" fontId="40" fillId="2" borderId="12" xfId="0" applyNumberFormat="1" applyFont="1" applyFill="1" applyBorder="1" applyAlignment="1"/>
    <xf numFmtId="0" fontId="42" fillId="2" borderId="12" xfId="0" quotePrefix="1" applyFont="1" applyFill="1" applyBorder="1" applyAlignment="1"/>
    <xf numFmtId="0" fontId="40" fillId="2" borderId="12" xfId="0" applyFont="1" applyFill="1" applyBorder="1" applyAlignment="1"/>
    <xf numFmtId="0" fontId="40" fillId="2" borderId="13" xfId="0" applyFont="1" applyFill="1" applyBorder="1" applyAlignment="1"/>
    <xf numFmtId="188" fontId="42" fillId="2" borderId="13" xfId="0" applyNumberFormat="1" applyFont="1" applyFill="1" applyBorder="1" applyAlignment="1">
      <alignment horizontal="center"/>
    </xf>
    <xf numFmtId="187" fontId="42" fillId="2" borderId="13" xfId="0" applyNumberFormat="1" applyFont="1" applyFill="1" applyBorder="1" applyAlignment="1">
      <alignment horizontal="right"/>
    </xf>
    <xf numFmtId="187" fontId="42" fillId="24" borderId="13" xfId="0" applyNumberFormat="1" applyFont="1" applyFill="1" applyBorder="1" applyAlignment="1">
      <alignment horizontal="right"/>
    </xf>
    <xf numFmtId="189" fontId="42" fillId="2" borderId="13" xfId="0" applyNumberFormat="1" applyFont="1" applyFill="1" applyBorder="1" applyAlignment="1">
      <alignment horizontal="right"/>
    </xf>
    <xf numFmtId="189" fontId="39" fillId="0" borderId="20" xfId="0" applyNumberFormat="1" applyFont="1" applyBorder="1" applyAlignment="1"/>
    <xf numFmtId="189" fontId="39" fillId="0" borderId="2" xfId="0" applyNumberFormat="1" applyFont="1" applyBorder="1" applyAlignment="1"/>
    <xf numFmtId="188" fontId="2" fillId="2" borderId="11" xfId="0" applyNumberFormat="1" applyFont="1" applyFill="1" applyBorder="1" applyAlignment="1"/>
    <xf numFmtId="0" fontId="7" fillId="2" borderId="13" xfId="0" applyFont="1" applyFill="1" applyBorder="1" applyAlignment="1">
      <alignment horizontal="center"/>
    </xf>
    <xf numFmtId="187" fontId="2" fillId="2" borderId="13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90"/>
  <sheetViews>
    <sheetView tabSelected="1" view="pageBreakPreview" zoomScale="60" zoomScaleNormal="8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3" bestFit="1" customWidth="1"/>
    <col min="15" max="15" width="12.5703125" bestFit="1" customWidth="1"/>
    <col min="16" max="16" width="12" bestFit="1" customWidth="1"/>
    <col min="17" max="18" width="23" bestFit="1" customWidth="1"/>
    <col min="19" max="19" width="21.28515625" bestFit="1" customWidth="1"/>
    <col min="20" max="20" width="10.85546875" bestFit="1" customWidth="1"/>
    <col min="21" max="21" width="12" bestFit="1" customWidth="1"/>
  </cols>
  <sheetData>
    <row r="1" spans="1:21" ht="15.75" customHeight="1" x14ac:dyDescent="0.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</row>
    <row r="2" spans="1:21" ht="15.75" customHeight="1" x14ac:dyDescent="0.3">
      <c r="A2" s="481" t="s">
        <v>1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</row>
    <row r="3" spans="1:21" ht="15.75" customHeight="1" x14ac:dyDescent="0.3">
      <c r="A3" s="481" t="s">
        <v>327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5.75" customHeight="1" x14ac:dyDescent="0.3">
      <c r="A5" s="2"/>
      <c r="B5" s="2"/>
      <c r="C5" s="2"/>
      <c r="D5" s="2"/>
      <c r="E5" s="2"/>
      <c r="F5" s="2"/>
      <c r="G5" s="3"/>
      <c r="H5" s="2"/>
      <c r="I5" s="2"/>
      <c r="J5" s="4"/>
      <c r="K5" s="5"/>
      <c r="L5" s="483" t="s">
        <v>2</v>
      </c>
      <c r="M5" s="484"/>
      <c r="N5" s="484"/>
      <c r="O5" s="484"/>
      <c r="P5" s="485"/>
      <c r="Q5" s="486" t="s">
        <v>3</v>
      </c>
      <c r="R5" s="484"/>
      <c r="S5" s="484"/>
      <c r="T5" s="484"/>
      <c r="U5" s="485"/>
    </row>
    <row r="6" spans="1:21" ht="15.75" customHeight="1" x14ac:dyDescent="0.3">
      <c r="A6" s="493" t="s">
        <v>4</v>
      </c>
      <c r="B6" s="482"/>
      <c r="C6" s="482"/>
      <c r="D6" s="482"/>
      <c r="E6" s="482"/>
      <c r="F6" s="482"/>
      <c r="G6" s="494"/>
      <c r="H6" s="6" t="s">
        <v>5</v>
      </c>
      <c r="I6" s="487" t="s">
        <v>6</v>
      </c>
      <c r="J6" s="478"/>
      <c r="K6" s="479"/>
      <c r="L6" s="480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7"/>
      <c r="I7" s="8" t="s">
        <v>9</v>
      </c>
      <c r="J7" s="9" t="s">
        <v>10</v>
      </c>
      <c r="K7" s="8" t="s">
        <v>11</v>
      </c>
      <c r="L7" s="10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idden="1" x14ac:dyDescent="0.2">
      <c r="A8" s="496"/>
      <c r="B8" s="478"/>
      <c r="C8" s="478"/>
      <c r="D8" s="478"/>
      <c r="E8" s="478"/>
      <c r="F8" s="478"/>
      <c r="G8" s="479"/>
      <c r="H8" s="14"/>
      <c r="I8" s="15"/>
      <c r="J8" s="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1:21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</row>
    <row r="17" spans="1:21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5.75" customHeight="1" x14ac:dyDescent="0.3">
      <c r="A18" s="497" t="s">
        <v>17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5.75" customHeight="1" x14ac:dyDescent="0.3">
      <c r="A19" s="26"/>
      <c r="B19" s="27"/>
      <c r="C19" s="28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34">
        <f t="shared" ref="L19:N19" ca="1" si="0">L20+L21</f>
        <v>34561256</v>
      </c>
      <c r="M19" s="34">
        <f t="shared" ca="1" si="0"/>
        <v>23230330.48</v>
      </c>
      <c r="N19" s="34">
        <f t="shared" ca="1" si="0"/>
        <v>16707791.580000004</v>
      </c>
      <c r="O19" s="34">
        <f t="shared" ref="O19:O27" ca="1" si="1">IF(L19&gt;0,N19*100/L19,0)</f>
        <v>48.342547446771043</v>
      </c>
      <c r="P19" s="34">
        <f t="shared" ref="P19:P27" ca="1" si="2">IF(M19&gt;0,N19*100/M19,0)</f>
        <v>71.922315502073758</v>
      </c>
      <c r="Q19" s="34">
        <f t="shared" ref="Q19:S19" ca="1" si="3">Q20+Q21</f>
        <v>20970524.07</v>
      </c>
      <c r="R19" s="34">
        <f t="shared" ca="1" si="3"/>
        <v>20428672</v>
      </c>
      <c r="S19" s="34">
        <f t="shared" ca="1" si="3"/>
        <v>2033853.06</v>
      </c>
      <c r="T19" s="34">
        <f t="shared" ref="T19:T27" ca="1" si="4">IF(Q19&gt;0,S19*100/Q19,0)</f>
        <v>9.698627717700143</v>
      </c>
      <c r="U19" s="34">
        <f t="shared" ref="U19:U27" ca="1" si="5">IF(R19&gt;0,S19*100/R19,0)</f>
        <v>9.9558750563913314</v>
      </c>
    </row>
    <row r="20" spans="1:21" ht="15.75" customHeight="1" x14ac:dyDescent="0.25">
      <c r="A20" s="26"/>
      <c r="B20" s="27"/>
      <c r="C20" s="27"/>
      <c r="D20" s="27"/>
      <c r="E20" s="35" t="s">
        <v>20</v>
      </c>
      <c r="F20" s="27"/>
      <c r="G20" s="30"/>
      <c r="H20" s="36" t="s">
        <v>14</v>
      </c>
      <c r="I20" s="32"/>
      <c r="J20" s="32"/>
      <c r="K20" s="33"/>
      <c r="L20" s="37">
        <f t="shared" ref="L20:N20" ca="1" si="6">L23+L26</f>
        <v>0</v>
      </c>
      <c r="M20" s="37">
        <f t="shared" ca="1" si="6"/>
        <v>0</v>
      </c>
      <c r="N20" s="37">
        <f t="shared" ca="1" si="6"/>
        <v>0</v>
      </c>
      <c r="O20" s="37">
        <f t="shared" ca="1" si="1"/>
        <v>0</v>
      </c>
      <c r="P20" s="37">
        <f t="shared" ca="1" si="2"/>
        <v>0</v>
      </c>
      <c r="Q20" s="37">
        <f t="shared" ref="Q20:S20" ca="1" si="7">Q23+Q26</f>
        <v>0</v>
      </c>
      <c r="R20" s="37">
        <f t="shared" ca="1" si="7"/>
        <v>0</v>
      </c>
      <c r="S20" s="37">
        <f t="shared" ca="1" si="7"/>
        <v>0</v>
      </c>
      <c r="T20" s="37">
        <f t="shared" ca="1" si="4"/>
        <v>0</v>
      </c>
      <c r="U20" s="37">
        <f t="shared" ca="1" si="5"/>
        <v>0</v>
      </c>
    </row>
    <row r="21" spans="1:21" ht="15.75" customHeight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38">
        <f t="shared" ref="L21:N21" ca="1" si="8">L24+L27</f>
        <v>34561256</v>
      </c>
      <c r="M21" s="38">
        <f t="shared" ca="1" si="8"/>
        <v>23230330.48</v>
      </c>
      <c r="N21" s="38">
        <f t="shared" ca="1" si="8"/>
        <v>16707791.580000004</v>
      </c>
      <c r="O21" s="38">
        <f t="shared" ca="1" si="1"/>
        <v>48.342547446771043</v>
      </c>
      <c r="P21" s="38">
        <f t="shared" ca="1" si="2"/>
        <v>71.922315502073758</v>
      </c>
      <c r="Q21" s="38">
        <f t="shared" ref="Q21:S21" ca="1" si="9">Q24+Q27</f>
        <v>20970524.07</v>
      </c>
      <c r="R21" s="38">
        <f t="shared" ca="1" si="9"/>
        <v>20428672</v>
      </c>
      <c r="S21" s="38">
        <f t="shared" ca="1" si="9"/>
        <v>2033853.06</v>
      </c>
      <c r="T21" s="38">
        <f t="shared" ca="1" si="4"/>
        <v>9.698627717700143</v>
      </c>
      <c r="U21" s="38">
        <f t="shared" ca="1" si="5"/>
        <v>9.9558750563913314</v>
      </c>
    </row>
    <row r="22" spans="1:21" ht="15.75" customHeight="1" x14ac:dyDescent="0.25">
      <c r="A22" s="39"/>
      <c r="B22" s="40"/>
      <c r="C22" s="40"/>
      <c r="D22" s="41" t="s">
        <v>22</v>
      </c>
      <c r="E22" s="40"/>
      <c r="F22" s="40"/>
      <c r="G22" s="42"/>
      <c r="H22" s="43" t="s">
        <v>14</v>
      </c>
      <c r="I22" s="44"/>
      <c r="J22" s="44"/>
      <c r="K22" s="45"/>
      <c r="L22" s="46">
        <f t="shared" ref="L22:N22" ca="1" si="10">L23+L24</f>
        <v>22115856</v>
      </c>
      <c r="M22" s="46">
        <f t="shared" ca="1" si="10"/>
        <v>23230330.48</v>
      </c>
      <c r="N22" s="46">
        <f t="shared" ca="1" si="10"/>
        <v>16707791.580000004</v>
      </c>
      <c r="O22" s="46">
        <f t="shared" ca="1" si="1"/>
        <v>75.546664709699698</v>
      </c>
      <c r="P22" s="46">
        <f t="shared" ca="1" si="2"/>
        <v>71.922315502073758</v>
      </c>
      <c r="Q22" s="46">
        <f t="shared" ref="Q22:S22" ca="1" si="11">Q23+Q24</f>
        <v>20970524.07</v>
      </c>
      <c r="R22" s="46">
        <f t="shared" ca="1" si="11"/>
        <v>20428672</v>
      </c>
      <c r="S22" s="46">
        <f t="shared" ca="1" si="11"/>
        <v>2033853.06</v>
      </c>
      <c r="T22" s="46">
        <f t="shared" ca="1" si="4"/>
        <v>9.698627717700143</v>
      </c>
      <c r="U22" s="46">
        <f t="shared" ca="1" si="5"/>
        <v>9.9558750563913314</v>
      </c>
    </row>
    <row r="23" spans="1:21" ht="15.75" customHeight="1" x14ac:dyDescent="0.25">
      <c r="A23" s="39"/>
      <c r="B23" s="40"/>
      <c r="C23" s="40"/>
      <c r="D23" s="40"/>
      <c r="E23" s="47" t="s">
        <v>20</v>
      </c>
      <c r="F23" s="40"/>
      <c r="G23" s="42"/>
      <c r="H23" s="43" t="s">
        <v>14</v>
      </c>
      <c r="I23" s="44"/>
      <c r="J23" s="44"/>
      <c r="K23" s="45"/>
      <c r="L23" s="48">
        <f t="shared" ref="L23:N23" ca="1" si="12">L49+L64+L77+L99+L122+L144+L162+L191+L178+L271+L287+L308+L325+L338+L361+L380+L397+L418+L498+L518+L539+L560+L581+L604+L621+L647+L695+L719+L733+L765</f>
        <v>0</v>
      </c>
      <c r="M23" s="48">
        <f t="shared" ca="1" si="12"/>
        <v>0</v>
      </c>
      <c r="N23" s="48">
        <f t="shared" ca="1" si="12"/>
        <v>0</v>
      </c>
      <c r="O23" s="48">
        <f t="shared" ca="1" si="1"/>
        <v>0</v>
      </c>
      <c r="P23" s="48">
        <f t="shared" ca="1" si="2"/>
        <v>0</v>
      </c>
      <c r="Q23" s="48">
        <f t="shared" ref="Q23:S23" ca="1" si="13">Q49+Q64+Q77+Q99+Q122+Q144+Q162+Q191+Q178+Q271+Q287+Q308+Q325+Q338+Q361+Q380+Q397+Q418+Q498+Q518+Q539+Q560+Q581+Q604+Q621+Q647+Q695+Q719+Q733+Q765</f>
        <v>0</v>
      </c>
      <c r="R23" s="48">
        <f t="shared" ca="1" si="13"/>
        <v>0</v>
      </c>
      <c r="S23" s="48">
        <f t="shared" ca="1" si="13"/>
        <v>0</v>
      </c>
      <c r="T23" s="48">
        <f t="shared" ca="1" si="4"/>
        <v>0</v>
      </c>
      <c r="U23" s="48">
        <f t="shared" ca="1" si="5"/>
        <v>0</v>
      </c>
    </row>
    <row r="24" spans="1:21" ht="15.75" customHeight="1" x14ac:dyDescent="0.25">
      <c r="A24" s="39"/>
      <c r="B24" s="40"/>
      <c r="C24" s="40"/>
      <c r="D24" s="40"/>
      <c r="E24" s="47" t="s">
        <v>21</v>
      </c>
      <c r="F24" s="40"/>
      <c r="G24" s="42"/>
      <c r="H24" s="43" t="s">
        <v>14</v>
      </c>
      <c r="I24" s="44"/>
      <c r="J24" s="44"/>
      <c r="K24" s="45"/>
      <c r="L24" s="46">
        <f t="shared" ref="L24:N24" ca="1" si="14">L50+L65+L78+L100+L123+L145+L163+L192+L179+L272+L288+L309+L326+L339+L362+L381+L398+L419+L499+L519+L540+L561+L582+L605+L622+L648+L696+L720+L734+L766</f>
        <v>22115856</v>
      </c>
      <c r="M24" s="46">
        <f t="shared" ca="1" si="14"/>
        <v>23230330.48</v>
      </c>
      <c r="N24" s="46">
        <f t="shared" ca="1" si="14"/>
        <v>16707791.580000004</v>
      </c>
      <c r="O24" s="46">
        <f t="shared" ca="1" si="1"/>
        <v>75.546664709699698</v>
      </c>
      <c r="P24" s="46">
        <f t="shared" ca="1" si="2"/>
        <v>71.922315502073758</v>
      </c>
      <c r="Q24" s="46">
        <f t="shared" ref="Q24:S24" ca="1" si="15">Q50+Q65+Q78+Q100+Q123+Q145+Q163+Q192+Q179+Q272+Q288+Q309+Q326+Q339+Q362+Q381+Q398+Q419+Q499+Q519+Q540+Q561+Q582+Q605+Q622+Q648+Q696+Q720+Q734+Q766</f>
        <v>20970524.07</v>
      </c>
      <c r="R24" s="46">
        <f t="shared" ca="1" si="15"/>
        <v>20428672</v>
      </c>
      <c r="S24" s="46">
        <f t="shared" ca="1" si="15"/>
        <v>2033853.06</v>
      </c>
      <c r="T24" s="46">
        <f t="shared" ca="1" si="4"/>
        <v>9.698627717700143</v>
      </c>
      <c r="U24" s="46">
        <f t="shared" ca="1" si="5"/>
        <v>9.9558750563913314</v>
      </c>
    </row>
    <row r="25" spans="1:21" ht="15.75" customHeight="1" x14ac:dyDescent="0.25">
      <c r="A25" s="39"/>
      <c r="B25" s="40"/>
      <c r="C25" s="40"/>
      <c r="D25" s="41" t="s">
        <v>23</v>
      </c>
      <c r="E25" s="40"/>
      <c r="F25" s="40"/>
      <c r="G25" s="42"/>
      <c r="H25" s="43" t="s">
        <v>14</v>
      </c>
      <c r="I25" s="44"/>
      <c r="J25" s="44"/>
      <c r="K25" s="45"/>
      <c r="L25" s="46">
        <f t="shared" ref="L25:N25" ca="1" si="16">L26+L27</f>
        <v>12445400</v>
      </c>
      <c r="M25" s="46">
        <f t="shared" ca="1" si="16"/>
        <v>0</v>
      </c>
      <c r="N25" s="46">
        <f t="shared" ca="1" si="16"/>
        <v>0</v>
      </c>
      <c r="O25" s="46">
        <f t="shared" ca="1" si="1"/>
        <v>0</v>
      </c>
      <c r="P25" s="46">
        <f t="shared" ca="1" si="2"/>
        <v>0</v>
      </c>
      <c r="Q25" s="46">
        <f t="shared" ref="Q25:S25" ca="1" si="17">Q26+Q27</f>
        <v>0</v>
      </c>
      <c r="R25" s="46">
        <f t="shared" ca="1" si="17"/>
        <v>0</v>
      </c>
      <c r="S25" s="46">
        <f t="shared" ca="1" si="17"/>
        <v>0</v>
      </c>
      <c r="T25" s="46">
        <f t="shared" ca="1" si="4"/>
        <v>0</v>
      </c>
      <c r="U25" s="46">
        <f t="shared" ca="1" si="5"/>
        <v>0</v>
      </c>
    </row>
    <row r="26" spans="1:21" ht="15.75" customHeight="1" x14ac:dyDescent="0.25">
      <c r="A26" s="39"/>
      <c r="B26" s="40"/>
      <c r="C26" s="40"/>
      <c r="D26" s="40"/>
      <c r="E26" s="47" t="s">
        <v>20</v>
      </c>
      <c r="F26" s="40"/>
      <c r="G26" s="42"/>
      <c r="H26" s="43" t="s">
        <v>14</v>
      </c>
      <c r="I26" s="44"/>
      <c r="J26" s="44"/>
      <c r="K26" s="45"/>
      <c r="L26" s="48">
        <f t="shared" ref="L26:N26" ca="1" si="18">L52+L67+L80+L102+L125+L147+L165+L194+L181+L274+L290+L311+L328+L341+L364+L383+L400+L421+L501+L521+L542+L563+L584+L607+L624+L650+L698+L722+L736+L768</f>
        <v>0</v>
      </c>
      <c r="M26" s="48">
        <f t="shared" ca="1" si="18"/>
        <v>0</v>
      </c>
      <c r="N26" s="48">
        <f t="shared" ca="1" si="18"/>
        <v>0</v>
      </c>
      <c r="O26" s="48">
        <f t="shared" ca="1" si="1"/>
        <v>0</v>
      </c>
      <c r="P26" s="48">
        <f t="shared" ca="1" si="2"/>
        <v>0</v>
      </c>
      <c r="Q26" s="48">
        <f t="shared" ref="Q26:S26" ca="1" si="19">Q52+Q67+Q80+Q102+Q125+Q147+Q165+Q194+Q181+Q274+Q290+Q311+Q328+Q341+Q364+Q383+Q400+Q421+Q501+Q521+Q542+Q563+Q584+Q607+Q624+Q650+Q698+Q722+Q736+Q768</f>
        <v>0</v>
      </c>
      <c r="R26" s="48">
        <f t="shared" ca="1" si="19"/>
        <v>0</v>
      </c>
      <c r="S26" s="48">
        <f t="shared" ca="1" si="19"/>
        <v>0</v>
      </c>
      <c r="T26" s="48">
        <f t="shared" ca="1" si="4"/>
        <v>0</v>
      </c>
      <c r="U26" s="48">
        <f t="shared" ca="1" si="5"/>
        <v>0</v>
      </c>
    </row>
    <row r="27" spans="1:21" ht="15.75" customHeight="1" x14ac:dyDescent="0.25">
      <c r="A27" s="39"/>
      <c r="B27" s="40"/>
      <c r="C27" s="40"/>
      <c r="D27" s="40"/>
      <c r="E27" s="47" t="s">
        <v>21</v>
      </c>
      <c r="F27" s="40"/>
      <c r="G27" s="42"/>
      <c r="H27" s="43" t="s">
        <v>14</v>
      </c>
      <c r="I27" s="44"/>
      <c r="J27" s="44"/>
      <c r="K27" s="45"/>
      <c r="L27" s="46">
        <f t="shared" ref="L27:N27" ca="1" si="20">L53+L68+L81+L103+L126+L148+L166+L195+L182+L275+L291+L312+L329+L342+L365+L384+L401+L422+L502+L522+L543+L564+L585+L608+L625+L651+L699+L723+L737+L769</f>
        <v>12445400</v>
      </c>
      <c r="M27" s="46">
        <f t="shared" ca="1" si="20"/>
        <v>0</v>
      </c>
      <c r="N27" s="46">
        <f t="shared" ca="1" si="20"/>
        <v>0</v>
      </c>
      <c r="O27" s="46">
        <f t="shared" ca="1" si="1"/>
        <v>0</v>
      </c>
      <c r="P27" s="46">
        <f t="shared" ca="1" si="2"/>
        <v>0</v>
      </c>
      <c r="Q27" s="46">
        <f t="shared" ref="Q27:S27" ca="1" si="21">Q53+Q68+Q81+Q103+Q126+Q148+Q166+Q195+Q182+Q275+Q291+Q312+Q329+Q342+Q365+Q384+Q401+Q422+Q502+Q522+Q543+Q564+Q585+Q608+Q625+Q651+Q699+Q723+Q737+Q769</f>
        <v>0</v>
      </c>
      <c r="R27" s="46">
        <f t="shared" ca="1" si="21"/>
        <v>0</v>
      </c>
      <c r="S27" s="46">
        <f t="shared" ca="1" si="21"/>
        <v>0</v>
      </c>
      <c r="T27" s="46">
        <f t="shared" ca="1" si="4"/>
        <v>0</v>
      </c>
      <c r="U27" s="46">
        <f t="shared" ca="1" si="5"/>
        <v>0</v>
      </c>
    </row>
    <row r="28" spans="1:21" ht="15.75" customHeight="1" x14ac:dyDescent="0.25">
      <c r="A28" s="39"/>
      <c r="B28" s="40"/>
      <c r="C28" s="40"/>
      <c r="D28" s="49" t="s">
        <v>24</v>
      </c>
      <c r="E28" s="40"/>
      <c r="F28" s="40"/>
      <c r="G28" s="42"/>
      <c r="H28" s="43" t="s">
        <v>14</v>
      </c>
      <c r="I28" s="44"/>
      <c r="J28" s="44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39"/>
      <c r="B29" s="40"/>
      <c r="C29" s="40"/>
      <c r="D29" s="40"/>
      <c r="E29" s="47" t="s">
        <v>20</v>
      </c>
      <c r="F29" s="40"/>
      <c r="G29" s="42"/>
      <c r="H29" s="43" t="s">
        <v>14</v>
      </c>
      <c r="I29" s="44"/>
      <c r="J29" s="44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5.75" customHeight="1" x14ac:dyDescent="0.25">
      <c r="A30" s="50"/>
      <c r="B30" s="2"/>
      <c r="C30" s="2"/>
      <c r="D30" s="2"/>
      <c r="E30" s="51" t="s">
        <v>21</v>
      </c>
      <c r="F30" s="2"/>
      <c r="G30" s="52"/>
      <c r="H30" s="53" t="s">
        <v>14</v>
      </c>
      <c r="I30" s="54"/>
      <c r="J30" s="54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idden="1" x14ac:dyDescent="0.2">
      <c r="A31" s="496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73" t="s">
        <v>19</v>
      </c>
      <c r="E45" s="71"/>
      <c r="F45" s="71"/>
      <c r="G45" s="74"/>
      <c r="H45" s="75" t="s">
        <v>14</v>
      </c>
      <c r="I45" s="76"/>
      <c r="J45" s="76"/>
      <c r="K45" s="77"/>
      <c r="L45" s="78">
        <f t="shared" ref="L45:N45" ca="1" si="22">L46+L47</f>
        <v>3854031</v>
      </c>
      <c r="M45" s="78">
        <f t="shared" ca="1" si="22"/>
        <v>4260100.4800000004</v>
      </c>
      <c r="N45" s="78">
        <f t="shared" ca="1" si="22"/>
        <v>3240643.49</v>
      </c>
      <c r="O45" s="78">
        <f t="shared" ref="O45:O53" ca="1" si="23">IF(L45&gt;0,N45*100/L45,0)</f>
        <v>84.084520596746628</v>
      </c>
      <c r="P45" s="78">
        <f t="shared" ref="P45:P53" ca="1" si="24">IF(M45&gt;0,N45*100/M45,0)</f>
        <v>76.069649183485922</v>
      </c>
      <c r="Q45" s="78">
        <f t="shared" ref="Q45:S45" ca="1" si="25">Q46+Q47</f>
        <v>0</v>
      </c>
      <c r="R45" s="78">
        <f t="shared" ca="1" si="25"/>
        <v>0</v>
      </c>
      <c r="S45" s="78">
        <f t="shared" ca="1" si="25"/>
        <v>0</v>
      </c>
      <c r="T45" s="78">
        <f t="shared" ref="T45:T53" ca="1" si="26">IF(Q45&gt;0,S45*100/Q45,0)</f>
        <v>0</v>
      </c>
      <c r="U45" s="78">
        <f t="shared" ref="U45:U53" ca="1" si="27">IF(R45&gt;0,S45*100/R45,0)</f>
        <v>0</v>
      </c>
    </row>
    <row r="46" spans="1:21" ht="18.75" x14ac:dyDescent="0.25">
      <c r="A46" s="70"/>
      <c r="B46" s="71"/>
      <c r="C46" s="71"/>
      <c r="D46" s="71"/>
      <c r="E46" s="79" t="s">
        <v>20</v>
      </c>
      <c r="F46" s="71"/>
      <c r="G46" s="74"/>
      <c r="H46" s="80" t="s">
        <v>14</v>
      </c>
      <c r="I46" s="76"/>
      <c r="J46" s="76"/>
      <c r="K46" s="77"/>
      <c r="L46" s="81">
        <f t="shared" ref="L46:N46" si="28">L49+L52</f>
        <v>0</v>
      </c>
      <c r="M46" s="81">
        <f t="shared" si="28"/>
        <v>0</v>
      </c>
      <c r="N46" s="81">
        <f t="shared" si="28"/>
        <v>0</v>
      </c>
      <c r="O46" s="81">
        <f t="shared" si="23"/>
        <v>0</v>
      </c>
      <c r="P46" s="81">
        <f t="shared" si="24"/>
        <v>0</v>
      </c>
      <c r="Q46" s="81">
        <f t="shared" ref="Q46:S46" si="29">Q49+Q52</f>
        <v>0</v>
      </c>
      <c r="R46" s="81">
        <f t="shared" si="29"/>
        <v>0</v>
      </c>
      <c r="S46" s="81">
        <f t="shared" si="29"/>
        <v>0</v>
      </c>
      <c r="T46" s="81">
        <f t="shared" si="26"/>
        <v>0</v>
      </c>
      <c r="U46" s="81">
        <f t="shared" si="27"/>
        <v>0</v>
      </c>
    </row>
    <row r="47" spans="1:21" ht="18.75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82">
        <f t="shared" ref="L47:N47" ca="1" si="30">L50+L53</f>
        <v>3854031</v>
      </c>
      <c r="M47" s="82">
        <f t="shared" ca="1" si="30"/>
        <v>4260100.4800000004</v>
      </c>
      <c r="N47" s="82">
        <f t="shared" ca="1" si="30"/>
        <v>3240643.49</v>
      </c>
      <c r="O47" s="82">
        <f t="shared" ca="1" si="23"/>
        <v>84.084520596746628</v>
      </c>
      <c r="P47" s="82">
        <f t="shared" ca="1" si="24"/>
        <v>76.069649183485922</v>
      </c>
      <c r="Q47" s="82">
        <f t="shared" ref="Q47:S47" ca="1" si="31">Q50+Q53</f>
        <v>0</v>
      </c>
      <c r="R47" s="82">
        <f t="shared" ca="1" si="31"/>
        <v>0</v>
      </c>
      <c r="S47" s="82">
        <f t="shared" ca="1" si="31"/>
        <v>0</v>
      </c>
      <c r="T47" s="82">
        <f t="shared" ca="1" si="26"/>
        <v>0</v>
      </c>
      <c r="U47" s="82">
        <f t="shared" ca="1" si="27"/>
        <v>0</v>
      </c>
    </row>
    <row r="48" spans="1:21" ht="18.75" x14ac:dyDescent="0.25">
      <c r="A48" s="39"/>
      <c r="B48" s="40"/>
      <c r="C48" s="40"/>
      <c r="D48" s="41" t="s">
        <v>22</v>
      </c>
      <c r="E48" s="40"/>
      <c r="F48" s="40"/>
      <c r="G48" s="42"/>
      <c r="H48" s="43" t="s">
        <v>14</v>
      </c>
      <c r="I48" s="44"/>
      <c r="J48" s="44"/>
      <c r="K48" s="45"/>
      <c r="L48" s="46">
        <f t="shared" ref="L48:N48" ca="1" si="32">L49+L50</f>
        <v>3854031</v>
      </c>
      <c r="M48" s="46">
        <f t="shared" ca="1" si="32"/>
        <v>4260100.4800000004</v>
      </c>
      <c r="N48" s="46">
        <f t="shared" ca="1" si="32"/>
        <v>3240643.49</v>
      </c>
      <c r="O48" s="46">
        <f t="shared" ca="1" si="23"/>
        <v>84.084520596746628</v>
      </c>
      <c r="P48" s="46">
        <f t="shared" ca="1" si="24"/>
        <v>76.069649183485922</v>
      </c>
      <c r="Q48" s="46">
        <f t="shared" ref="Q48:S48" ca="1" si="33">Q49+Q50</f>
        <v>0</v>
      </c>
      <c r="R48" s="46">
        <f t="shared" ca="1" si="33"/>
        <v>0</v>
      </c>
      <c r="S48" s="46">
        <f t="shared" ca="1" si="33"/>
        <v>0</v>
      </c>
      <c r="T48" s="46">
        <f t="shared" ca="1" si="26"/>
        <v>0</v>
      </c>
      <c r="U48" s="46">
        <f t="shared" ca="1" si="27"/>
        <v>0</v>
      </c>
    </row>
    <row r="49" spans="1:21" ht="18.75" x14ac:dyDescent="0.25">
      <c r="A49" s="39"/>
      <c r="B49" s="40"/>
      <c r="C49" s="40"/>
      <c r="D49" s="40"/>
      <c r="E49" s="47" t="s">
        <v>20</v>
      </c>
      <c r="F49" s="40"/>
      <c r="G49" s="42"/>
      <c r="H49" s="43" t="s">
        <v>14</v>
      </c>
      <c r="I49" s="44"/>
      <c r="J49" s="44"/>
      <c r="K49" s="45"/>
      <c r="L49" s="48">
        <v>0</v>
      </c>
      <c r="M49" s="48">
        <v>0</v>
      </c>
      <c r="N49" s="48">
        <v>0</v>
      </c>
      <c r="O49" s="48">
        <f t="shared" si="23"/>
        <v>0</v>
      </c>
      <c r="P49" s="48">
        <f t="shared" si="24"/>
        <v>0</v>
      </c>
      <c r="Q49" s="48">
        <v>0</v>
      </c>
      <c r="R49" s="48">
        <v>0</v>
      </c>
      <c r="S49" s="48">
        <v>0</v>
      </c>
      <c r="T49" s="48">
        <f t="shared" si="26"/>
        <v>0</v>
      </c>
      <c r="U49" s="48">
        <f t="shared" si="27"/>
        <v>0</v>
      </c>
    </row>
    <row r="50" spans="1:21" ht="18.75" x14ac:dyDescent="0.25">
      <c r="A50" s="39"/>
      <c r="B50" s="40"/>
      <c r="C50" s="40"/>
      <c r="D50" s="40"/>
      <c r="E50" s="47" t="s">
        <v>21</v>
      </c>
      <c r="F50" s="40"/>
      <c r="G50" s="42"/>
      <c r="H50" s="43" t="s">
        <v>14</v>
      </c>
      <c r="I50" s="44"/>
      <c r="J50" s="44"/>
      <c r="K50" s="45"/>
      <c r="L50" s="46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3854031)</f>
        <v>3854031</v>
      </c>
      <c r="M50" s="46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4260100.48)</f>
        <v>4260100.4800000004</v>
      </c>
      <c r="N50" s="46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3240643.49)</f>
        <v>3240643.49</v>
      </c>
      <c r="O50" s="46">
        <f t="shared" ca="1" si="23"/>
        <v>84.084520596746628</v>
      </c>
      <c r="P50" s="46">
        <f t="shared" ca="1" si="24"/>
        <v>76.069649183485922</v>
      </c>
      <c r="Q50" s="46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50" s="46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50" s="46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50" s="46">
        <f t="shared" ca="1" si="26"/>
        <v>0</v>
      </c>
      <c r="U50" s="46">
        <f t="shared" ca="1" si="27"/>
        <v>0</v>
      </c>
    </row>
    <row r="51" spans="1:21" ht="18.75" x14ac:dyDescent="0.25">
      <c r="A51" s="39"/>
      <c r="B51" s="40"/>
      <c r="C51" s="40"/>
      <c r="D51" s="49" t="s">
        <v>23</v>
      </c>
      <c r="E51" s="40"/>
      <c r="F51" s="40"/>
      <c r="G51" s="42"/>
      <c r="H51" s="43" t="s">
        <v>14</v>
      </c>
      <c r="I51" s="44"/>
      <c r="J51" s="44"/>
      <c r="K51" s="45"/>
      <c r="L51" s="46">
        <f t="shared" ref="L51:N51" ca="1" si="34">L52+L53</f>
        <v>0</v>
      </c>
      <c r="M51" s="46">
        <f t="shared" ca="1" si="34"/>
        <v>0</v>
      </c>
      <c r="N51" s="46">
        <f t="shared" ca="1" si="34"/>
        <v>0</v>
      </c>
      <c r="O51" s="46">
        <f t="shared" ca="1" si="23"/>
        <v>0</v>
      </c>
      <c r="P51" s="46">
        <f t="shared" ca="1" si="24"/>
        <v>0</v>
      </c>
      <c r="Q51" s="46">
        <f t="shared" ref="Q51:S51" ca="1" si="35">Q52+Q53</f>
        <v>0</v>
      </c>
      <c r="R51" s="46">
        <f t="shared" ca="1" si="35"/>
        <v>0</v>
      </c>
      <c r="S51" s="46">
        <f t="shared" ca="1" si="35"/>
        <v>0</v>
      </c>
      <c r="T51" s="46">
        <f t="shared" ca="1" si="26"/>
        <v>0</v>
      </c>
      <c r="U51" s="46">
        <f t="shared" ca="1" si="27"/>
        <v>0</v>
      </c>
    </row>
    <row r="52" spans="1:21" ht="18.75" x14ac:dyDescent="0.25">
      <c r="A52" s="39"/>
      <c r="B52" s="40"/>
      <c r="C52" s="40"/>
      <c r="D52" s="40"/>
      <c r="E52" s="47" t="s">
        <v>20</v>
      </c>
      <c r="F52" s="40"/>
      <c r="G52" s="42"/>
      <c r="H52" s="43" t="s">
        <v>14</v>
      </c>
      <c r="I52" s="44"/>
      <c r="J52" s="44"/>
      <c r="K52" s="45"/>
      <c r="L52" s="48">
        <v>0</v>
      </c>
      <c r="M52" s="48">
        <v>0</v>
      </c>
      <c r="N52" s="48">
        <v>0</v>
      </c>
      <c r="O52" s="48">
        <f t="shared" si="23"/>
        <v>0</v>
      </c>
      <c r="P52" s="48">
        <f t="shared" si="24"/>
        <v>0</v>
      </c>
      <c r="Q52" s="48">
        <v>0</v>
      </c>
      <c r="R52" s="48">
        <v>0</v>
      </c>
      <c r="S52" s="48">
        <v>0</v>
      </c>
      <c r="T52" s="48">
        <f t="shared" si="26"/>
        <v>0</v>
      </c>
      <c r="U52" s="48">
        <f t="shared" si="27"/>
        <v>0</v>
      </c>
    </row>
    <row r="53" spans="1:21" ht="18.75" x14ac:dyDescent="0.25">
      <c r="A53" s="39"/>
      <c r="B53" s="40"/>
      <c r="C53" s="40"/>
      <c r="D53" s="40"/>
      <c r="E53" s="47" t="s">
        <v>21</v>
      </c>
      <c r="F53" s="40"/>
      <c r="G53" s="42"/>
      <c r="H53" s="43" t="s">
        <v>14</v>
      </c>
      <c r="I53" s="44"/>
      <c r="J53" s="44"/>
      <c r="K53" s="45"/>
      <c r="L53" s="46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3" s="46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3" s="46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3" s="46">
        <f t="shared" ca="1" si="23"/>
        <v>0</v>
      </c>
      <c r="P53" s="46">
        <f t="shared" ca="1" si="24"/>
        <v>0</v>
      </c>
      <c r="Q53" s="46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3" s="46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3" s="46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3" s="46">
        <f t="shared" ca="1" si="26"/>
        <v>0</v>
      </c>
      <c r="U53" s="46">
        <f t="shared" ca="1" si="27"/>
        <v>0</v>
      </c>
    </row>
    <row r="54" spans="1:21" ht="18.75" x14ac:dyDescent="0.25">
      <c r="A54" s="39"/>
      <c r="B54" s="40"/>
      <c r="C54" s="40"/>
      <c r="D54" s="49" t="s">
        <v>24</v>
      </c>
      <c r="E54" s="40"/>
      <c r="F54" s="40"/>
      <c r="G54" s="42"/>
      <c r="H54" s="43" t="s">
        <v>14</v>
      </c>
      <c r="I54" s="44"/>
      <c r="J54" s="44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39"/>
      <c r="B55" s="40"/>
      <c r="C55" s="40"/>
      <c r="D55" s="40"/>
      <c r="E55" s="47" t="s">
        <v>20</v>
      </c>
      <c r="F55" s="40"/>
      <c r="G55" s="42"/>
      <c r="H55" s="43" t="s">
        <v>14</v>
      </c>
      <c r="I55" s="44"/>
      <c r="J55" s="44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x14ac:dyDescent="0.25">
      <c r="A56" s="50"/>
      <c r="B56" s="2"/>
      <c r="C56" s="2"/>
      <c r="D56" s="2"/>
      <c r="E56" s="51" t="s">
        <v>21</v>
      </c>
      <c r="F56" s="2"/>
      <c r="G56" s="52"/>
      <c r="H56" s="53" t="s">
        <v>14</v>
      </c>
      <c r="I56" s="54"/>
      <c r="J56" s="54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100" t="s">
        <v>19</v>
      </c>
      <c r="E60" s="98"/>
      <c r="F60" s="98"/>
      <c r="G60" s="101"/>
      <c r="H60" s="102" t="s">
        <v>14</v>
      </c>
      <c r="I60" s="103"/>
      <c r="J60" s="103"/>
      <c r="K60" s="104"/>
      <c r="L60" s="105">
        <f t="shared" ref="L60:N60" ca="1" si="36">L61+L62</f>
        <v>5994600</v>
      </c>
      <c r="M60" s="105">
        <f t="shared" ca="1" si="36"/>
        <v>6292740</v>
      </c>
      <c r="N60" s="105">
        <f t="shared" ca="1" si="36"/>
        <v>5207766.3099999996</v>
      </c>
      <c r="O60" s="105">
        <f t="shared" ref="O60:O68" ca="1" si="37">IF(L60&gt;0,N60*100/L60,0)</f>
        <v>86.874292029493205</v>
      </c>
      <c r="P60" s="105">
        <f t="shared" ref="P60:P68" ca="1" si="38">IF(M60&gt;0,N60*100/M60,0)</f>
        <v>82.758326420605329</v>
      </c>
      <c r="Q60" s="105">
        <f t="shared" ref="Q60:S60" ca="1" si="39">Q61+Q62</f>
        <v>0</v>
      </c>
      <c r="R60" s="105">
        <f t="shared" ca="1" si="39"/>
        <v>0</v>
      </c>
      <c r="S60" s="105">
        <f t="shared" ca="1" si="39"/>
        <v>0</v>
      </c>
      <c r="T60" s="105">
        <f t="shared" ref="T60:T68" ca="1" si="40">IF(Q60&gt;0,S60*100/Q60,0)</f>
        <v>0</v>
      </c>
      <c r="U60" s="105">
        <f t="shared" ref="U60:U68" ca="1" si="41">IF(R60&gt;0,S60*100/R60,0)</f>
        <v>0</v>
      </c>
    </row>
    <row r="61" spans="1:21" ht="18.75" x14ac:dyDescent="0.25">
      <c r="A61" s="97"/>
      <c r="B61" s="98"/>
      <c r="C61" s="98"/>
      <c r="D61" s="98"/>
      <c r="E61" s="106" t="s">
        <v>20</v>
      </c>
      <c r="F61" s="98"/>
      <c r="G61" s="101"/>
      <c r="H61" s="107" t="s">
        <v>14</v>
      </c>
      <c r="I61" s="103"/>
      <c r="J61" s="103"/>
      <c r="K61" s="104"/>
      <c r="L61" s="108">
        <f t="shared" ref="L61:N61" ca="1" si="42">L64+L67</f>
        <v>0</v>
      </c>
      <c r="M61" s="108">
        <f t="shared" ca="1" si="42"/>
        <v>0</v>
      </c>
      <c r="N61" s="108">
        <f t="shared" ca="1" si="42"/>
        <v>0</v>
      </c>
      <c r="O61" s="108">
        <f t="shared" ca="1" si="37"/>
        <v>0</v>
      </c>
      <c r="P61" s="108">
        <f t="shared" ca="1" si="38"/>
        <v>0</v>
      </c>
      <c r="Q61" s="108">
        <f t="shared" ref="Q61:S61" ca="1" si="43">Q64+Q67</f>
        <v>0</v>
      </c>
      <c r="R61" s="108">
        <f t="shared" ca="1" si="43"/>
        <v>0</v>
      </c>
      <c r="S61" s="108">
        <f t="shared" ca="1" si="43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108">
        <f t="shared" ref="L62:N62" ca="1" si="44">L65+L68</f>
        <v>5994600</v>
      </c>
      <c r="M62" s="108">
        <f t="shared" ca="1" si="44"/>
        <v>6292740</v>
      </c>
      <c r="N62" s="108">
        <f t="shared" ca="1" si="44"/>
        <v>5207766.3099999996</v>
      </c>
      <c r="O62" s="108">
        <f t="shared" ca="1" si="37"/>
        <v>86.874292029493205</v>
      </c>
      <c r="P62" s="108">
        <f t="shared" ca="1" si="38"/>
        <v>82.758326420605329</v>
      </c>
      <c r="Q62" s="108">
        <f t="shared" ref="Q62:S62" ca="1" si="45">Q65+Q68</f>
        <v>0</v>
      </c>
      <c r="R62" s="108">
        <f t="shared" ca="1" si="45"/>
        <v>0</v>
      </c>
      <c r="S62" s="108">
        <f t="shared" ca="1" si="45"/>
        <v>0</v>
      </c>
      <c r="T62" s="108">
        <f t="shared" ca="1" si="40"/>
        <v>0</v>
      </c>
      <c r="U62" s="108">
        <f t="shared" ca="1" si="41"/>
        <v>0</v>
      </c>
    </row>
    <row r="63" spans="1:21" ht="18.75" x14ac:dyDescent="0.25">
      <c r="A63" s="39"/>
      <c r="B63" s="40"/>
      <c r="C63" s="40"/>
      <c r="D63" s="41" t="s">
        <v>22</v>
      </c>
      <c r="E63" s="40"/>
      <c r="F63" s="40"/>
      <c r="G63" s="42"/>
      <c r="H63" s="43" t="s">
        <v>14</v>
      </c>
      <c r="I63" s="44"/>
      <c r="J63" s="44"/>
      <c r="K63" s="45"/>
      <c r="L63" s="46">
        <f t="shared" ref="L63:N63" ca="1" si="46">L64+L65</f>
        <v>5994600</v>
      </c>
      <c r="M63" s="46">
        <f t="shared" ca="1" si="46"/>
        <v>6292740</v>
      </c>
      <c r="N63" s="46">
        <f t="shared" ca="1" si="46"/>
        <v>5207766.3099999996</v>
      </c>
      <c r="O63" s="46">
        <f t="shared" ca="1" si="37"/>
        <v>86.874292029493205</v>
      </c>
      <c r="P63" s="46">
        <f t="shared" ca="1" si="38"/>
        <v>82.758326420605329</v>
      </c>
      <c r="Q63" s="46">
        <f t="shared" ref="Q63:S63" ca="1" si="47">Q64+Q65</f>
        <v>0</v>
      </c>
      <c r="R63" s="46">
        <f t="shared" ca="1" si="47"/>
        <v>0</v>
      </c>
      <c r="S63" s="46">
        <f t="shared" ca="1" si="47"/>
        <v>0</v>
      </c>
      <c r="T63" s="46">
        <f t="shared" ca="1" si="40"/>
        <v>0</v>
      </c>
      <c r="U63" s="46">
        <f t="shared" ca="1" si="41"/>
        <v>0</v>
      </c>
    </row>
    <row r="64" spans="1:21" ht="18.75" x14ac:dyDescent="0.25">
      <c r="A64" s="39"/>
      <c r="B64" s="40"/>
      <c r="C64" s="40"/>
      <c r="D64" s="40"/>
      <c r="E64" s="47" t="s">
        <v>20</v>
      </c>
      <c r="F64" s="40"/>
      <c r="G64" s="42"/>
      <c r="H64" s="43" t="s">
        <v>14</v>
      </c>
      <c r="I64" s="44"/>
      <c r="J64" s="44"/>
      <c r="K64" s="45"/>
      <c r="L64" s="46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4" s="46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4" s="46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4" s="46">
        <f t="shared" ca="1" si="37"/>
        <v>0</v>
      </c>
      <c r="P64" s="46">
        <f t="shared" ca="1" si="38"/>
        <v>0</v>
      </c>
      <c r="Q64" s="46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4" s="46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4" s="46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4" s="48">
        <f t="shared" ca="1" si="40"/>
        <v>0</v>
      </c>
      <c r="U64" s="48">
        <f t="shared" ca="1" si="41"/>
        <v>0</v>
      </c>
    </row>
    <row r="65" spans="1:21" ht="18.75" x14ac:dyDescent="0.25">
      <c r="A65" s="39"/>
      <c r="B65" s="40"/>
      <c r="C65" s="40"/>
      <c r="D65" s="40"/>
      <c r="E65" s="47" t="s">
        <v>21</v>
      </c>
      <c r="F65" s="40"/>
      <c r="G65" s="42"/>
      <c r="H65" s="43" t="s">
        <v>14</v>
      </c>
      <c r="I65" s="44"/>
      <c r="J65" s="44"/>
      <c r="K65" s="45"/>
      <c r="L65" s="46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5994600)</f>
        <v>5994600</v>
      </c>
      <c r="M65" s="46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6292740)</f>
        <v>6292740</v>
      </c>
      <c r="N65" s="46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5207766.31)</f>
        <v>5207766.3099999996</v>
      </c>
      <c r="O65" s="46">
        <f t="shared" ca="1" si="37"/>
        <v>86.874292029493205</v>
      </c>
      <c r="P65" s="46">
        <f t="shared" ca="1" si="38"/>
        <v>82.758326420605329</v>
      </c>
      <c r="Q65" s="46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5" s="46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5" s="46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5" s="46">
        <f t="shared" ca="1" si="40"/>
        <v>0</v>
      </c>
      <c r="U65" s="46">
        <f t="shared" ca="1" si="41"/>
        <v>0</v>
      </c>
    </row>
    <row r="66" spans="1:21" ht="18.75" x14ac:dyDescent="0.25">
      <c r="A66" s="39"/>
      <c r="B66" s="40"/>
      <c r="C66" s="40"/>
      <c r="D66" s="41" t="s">
        <v>23</v>
      </c>
      <c r="E66" s="40"/>
      <c r="F66" s="40"/>
      <c r="G66" s="42"/>
      <c r="H66" s="43" t="s">
        <v>14</v>
      </c>
      <c r="I66" s="44"/>
      <c r="J66" s="44"/>
      <c r="K66" s="45"/>
      <c r="L66" s="46">
        <f t="shared" ref="L66:N66" ca="1" si="48">L67+L68</f>
        <v>0</v>
      </c>
      <c r="M66" s="46">
        <f t="shared" ca="1" si="48"/>
        <v>0</v>
      </c>
      <c r="N66" s="46">
        <f t="shared" ca="1" si="48"/>
        <v>0</v>
      </c>
      <c r="O66" s="46">
        <f t="shared" ca="1" si="37"/>
        <v>0</v>
      </c>
      <c r="P66" s="46">
        <f t="shared" ca="1" si="38"/>
        <v>0</v>
      </c>
      <c r="Q66" s="46">
        <f t="shared" ref="Q66:S66" ca="1" si="49">Q67+Q68</f>
        <v>0</v>
      </c>
      <c r="R66" s="46">
        <f t="shared" ca="1" si="49"/>
        <v>0</v>
      </c>
      <c r="S66" s="46">
        <f t="shared" ca="1" si="49"/>
        <v>0</v>
      </c>
      <c r="T66" s="46">
        <f t="shared" ca="1" si="40"/>
        <v>0</v>
      </c>
      <c r="U66" s="46">
        <f t="shared" ca="1" si="41"/>
        <v>0</v>
      </c>
    </row>
    <row r="67" spans="1:21" ht="18.75" x14ac:dyDescent="0.25">
      <c r="A67" s="39"/>
      <c r="B67" s="40"/>
      <c r="C67" s="40"/>
      <c r="D67" s="40"/>
      <c r="E67" s="47" t="s">
        <v>20</v>
      </c>
      <c r="F67" s="40"/>
      <c r="G67" s="42"/>
      <c r="H67" s="43" t="s">
        <v>14</v>
      </c>
      <c r="I67" s="44"/>
      <c r="J67" s="44"/>
      <c r="K67" s="45"/>
      <c r="L67" s="46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7" s="46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7" s="46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7" s="46">
        <f t="shared" ca="1" si="37"/>
        <v>0</v>
      </c>
      <c r="P67" s="46">
        <f t="shared" ca="1" si="38"/>
        <v>0</v>
      </c>
      <c r="Q67" s="46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7" s="46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7" s="46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7" s="48">
        <f t="shared" ca="1" si="40"/>
        <v>0</v>
      </c>
      <c r="U67" s="48">
        <f t="shared" ca="1" si="41"/>
        <v>0</v>
      </c>
    </row>
    <row r="68" spans="1:21" ht="18.75" x14ac:dyDescent="0.25">
      <c r="A68" s="50"/>
      <c r="B68" s="2"/>
      <c r="C68" s="2"/>
      <c r="D68" s="2"/>
      <c r="E68" s="51" t="s">
        <v>21</v>
      </c>
      <c r="F68" s="2"/>
      <c r="G68" s="52"/>
      <c r="H68" s="53" t="s">
        <v>14</v>
      </c>
      <c r="I68" s="54"/>
      <c r="J68" s="54"/>
      <c r="K68" s="5"/>
      <c r="L68" s="110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0)</f>
        <v>0</v>
      </c>
      <c r="M68" s="110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0)</f>
        <v>0</v>
      </c>
      <c r="N68" s="110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0)</f>
        <v>0</v>
      </c>
      <c r="O68" s="110">
        <f t="shared" ca="1" si="37"/>
        <v>0</v>
      </c>
      <c r="P68" s="110">
        <f t="shared" ca="1" si="38"/>
        <v>0</v>
      </c>
      <c r="Q68" s="110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8" s="110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8" s="110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8" s="110">
        <f t="shared" ca="1" si="40"/>
        <v>0</v>
      </c>
      <c r="U68" s="110">
        <f t="shared" ca="1" si="41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7"/>
      <c r="D71" s="125"/>
      <c r="E71" s="27"/>
      <c r="F71" s="27"/>
      <c r="G71" s="30"/>
      <c r="H71" s="126" t="s">
        <v>34</v>
      </c>
      <c r="I71" s="127">
        <f t="shared" ref="I71:J71" ca="1" si="50">I83</f>
        <v>4</v>
      </c>
      <c r="J71" s="127">
        <f t="shared" ca="1" si="50"/>
        <v>0</v>
      </c>
      <c r="K71" s="34">
        <f t="shared" ref="K71:K72" ca="1" si="51">IF(I71&gt;0,J71*100/I71,0)</f>
        <v>0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3"/>
      <c r="B72" s="27"/>
      <c r="C72" s="27"/>
      <c r="D72" s="125"/>
      <c r="E72" s="27"/>
      <c r="F72" s="27"/>
      <c r="G72" s="30"/>
      <c r="H72" s="126" t="s">
        <v>35</v>
      </c>
      <c r="I72" s="127">
        <f t="shared" ref="I72:J72" ca="1" si="52">I84</f>
        <v>121</v>
      </c>
      <c r="J72" s="127">
        <f t="shared" ca="1" si="52"/>
        <v>0</v>
      </c>
      <c r="K72" s="34">
        <f t="shared" ca="1" si="51"/>
        <v>0</v>
      </c>
      <c r="L72" s="3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x14ac:dyDescent="0.3">
      <c r="A73" s="128"/>
      <c r="B73" s="40"/>
      <c r="C73" s="129" t="s">
        <v>18</v>
      </c>
      <c r="D73" s="130" t="s">
        <v>19</v>
      </c>
      <c r="E73" s="40"/>
      <c r="F73" s="40"/>
      <c r="G73" s="42"/>
      <c r="H73" s="131" t="s">
        <v>14</v>
      </c>
      <c r="I73" s="44"/>
      <c r="J73" s="44"/>
      <c r="K73" s="45"/>
      <c r="L73" s="132">
        <f t="shared" ref="L73:N73" ca="1" si="53">L74+L75</f>
        <v>639900</v>
      </c>
      <c r="M73" s="132">
        <f t="shared" ca="1" si="53"/>
        <v>639900</v>
      </c>
      <c r="N73" s="132">
        <f t="shared" ca="1" si="53"/>
        <v>381057.39</v>
      </c>
      <c r="O73" s="132">
        <f t="shared" ref="O73:O81" ca="1" si="54">IF(L73&gt;0,N73*100/L73,0)</f>
        <v>59.54952180028129</v>
      </c>
      <c r="P73" s="132">
        <f t="shared" ref="P73:P81" ca="1" si="55">IF(M73&gt;0,N73*100/M73,0)</f>
        <v>59.54952180028129</v>
      </c>
      <c r="Q73" s="132">
        <f t="shared" ref="Q73:S73" ca="1" si="56">Q74+Q75</f>
        <v>1525812</v>
      </c>
      <c r="R73" s="132">
        <f t="shared" ca="1" si="56"/>
        <v>1525812</v>
      </c>
      <c r="S73" s="132">
        <f t="shared" ca="1" si="56"/>
        <v>3200</v>
      </c>
      <c r="T73" s="132">
        <f t="shared" ref="T73:T81" ca="1" si="57">IF(Q73&gt;0,S73*100/Q73,0)</f>
        <v>0.20972439592820086</v>
      </c>
      <c r="U73" s="132">
        <f t="shared" ref="U73:U81" ca="1" si="58">IF(R73&gt;0,S73*100/R73,0)</f>
        <v>0.20972439592820086</v>
      </c>
    </row>
    <row r="74" spans="1:21" ht="18.75" x14ac:dyDescent="0.25">
      <c r="A74" s="128"/>
      <c r="B74" s="40"/>
      <c r="C74" s="40"/>
      <c r="D74" s="40"/>
      <c r="E74" s="47" t="s">
        <v>20</v>
      </c>
      <c r="F74" s="40"/>
      <c r="G74" s="42"/>
      <c r="H74" s="133" t="s">
        <v>14</v>
      </c>
      <c r="I74" s="44"/>
      <c r="J74" s="44"/>
      <c r="K74" s="45"/>
      <c r="L74" s="46">
        <f t="shared" ref="L74:N74" ca="1" si="59">L77+L80</f>
        <v>0</v>
      </c>
      <c r="M74" s="46">
        <f t="shared" ca="1" si="59"/>
        <v>0</v>
      </c>
      <c r="N74" s="46">
        <f t="shared" ca="1" si="59"/>
        <v>0</v>
      </c>
      <c r="O74" s="46">
        <f t="shared" ca="1" si="54"/>
        <v>0</v>
      </c>
      <c r="P74" s="46">
        <f t="shared" ca="1" si="55"/>
        <v>0</v>
      </c>
      <c r="Q74" s="46">
        <f t="shared" ref="Q74:S74" ca="1" si="60">Q77+Q80</f>
        <v>0</v>
      </c>
      <c r="R74" s="46">
        <f t="shared" ca="1" si="60"/>
        <v>0</v>
      </c>
      <c r="S74" s="46">
        <f t="shared" ca="1" si="60"/>
        <v>0</v>
      </c>
      <c r="T74" s="48">
        <f t="shared" ca="1" si="57"/>
        <v>0</v>
      </c>
      <c r="U74" s="48">
        <f t="shared" ca="1" si="58"/>
        <v>0</v>
      </c>
    </row>
    <row r="75" spans="1:21" ht="18.75" x14ac:dyDescent="0.25">
      <c r="A75" s="128"/>
      <c r="B75" s="40"/>
      <c r="C75" s="40"/>
      <c r="D75" s="40"/>
      <c r="E75" s="47" t="s">
        <v>21</v>
      </c>
      <c r="F75" s="40"/>
      <c r="G75" s="42"/>
      <c r="H75" s="133" t="s">
        <v>14</v>
      </c>
      <c r="I75" s="44"/>
      <c r="J75" s="44"/>
      <c r="K75" s="45"/>
      <c r="L75" s="46">
        <f t="shared" ref="L75:N75" ca="1" si="61">L78+L81</f>
        <v>639900</v>
      </c>
      <c r="M75" s="46">
        <f t="shared" ca="1" si="61"/>
        <v>639900</v>
      </c>
      <c r="N75" s="46">
        <f t="shared" ca="1" si="61"/>
        <v>381057.39</v>
      </c>
      <c r="O75" s="46">
        <f t="shared" ca="1" si="54"/>
        <v>59.54952180028129</v>
      </c>
      <c r="P75" s="46">
        <f t="shared" ca="1" si="55"/>
        <v>59.54952180028129</v>
      </c>
      <c r="Q75" s="46">
        <f t="shared" ref="Q75:S75" ca="1" si="62">Q78+Q81</f>
        <v>1525812</v>
      </c>
      <c r="R75" s="46">
        <f t="shared" ca="1" si="62"/>
        <v>1525812</v>
      </c>
      <c r="S75" s="46">
        <f t="shared" ca="1" si="62"/>
        <v>3200</v>
      </c>
      <c r="T75" s="46">
        <f t="shared" ca="1" si="57"/>
        <v>0.20972439592820086</v>
      </c>
      <c r="U75" s="46">
        <f t="shared" ca="1" si="58"/>
        <v>0.20972439592820086</v>
      </c>
    </row>
    <row r="76" spans="1:21" ht="18.75" x14ac:dyDescent="0.25">
      <c r="A76" s="128"/>
      <c r="B76" s="40"/>
      <c r="C76" s="40"/>
      <c r="D76" s="41" t="s">
        <v>22</v>
      </c>
      <c r="E76" s="40"/>
      <c r="F76" s="40"/>
      <c r="G76" s="42"/>
      <c r="H76" s="134" t="s">
        <v>14</v>
      </c>
      <c r="I76" s="135"/>
      <c r="J76" s="135"/>
      <c r="K76" s="136"/>
      <c r="L76" s="46">
        <f t="shared" ref="L76:N76" ca="1" si="63">L77+L78</f>
        <v>639900</v>
      </c>
      <c r="M76" s="46">
        <f t="shared" ca="1" si="63"/>
        <v>639900</v>
      </c>
      <c r="N76" s="46">
        <f t="shared" ca="1" si="63"/>
        <v>381057.39</v>
      </c>
      <c r="O76" s="46">
        <f t="shared" ca="1" si="54"/>
        <v>59.54952180028129</v>
      </c>
      <c r="P76" s="46">
        <f t="shared" ca="1" si="55"/>
        <v>59.54952180028129</v>
      </c>
      <c r="Q76" s="46">
        <f t="shared" ref="Q76:S76" ca="1" si="64">Q77+Q78</f>
        <v>1525812</v>
      </c>
      <c r="R76" s="46">
        <f t="shared" ca="1" si="64"/>
        <v>1525812</v>
      </c>
      <c r="S76" s="46">
        <f t="shared" ca="1" si="64"/>
        <v>3200</v>
      </c>
      <c r="T76" s="46">
        <f t="shared" ca="1" si="57"/>
        <v>0.20972439592820086</v>
      </c>
      <c r="U76" s="46">
        <f t="shared" ca="1" si="58"/>
        <v>0.20972439592820086</v>
      </c>
    </row>
    <row r="77" spans="1:21" ht="18.75" x14ac:dyDescent="0.25">
      <c r="A77" s="128"/>
      <c r="B77" s="40"/>
      <c r="C77" s="40"/>
      <c r="D77" s="40"/>
      <c r="E77" s="47" t="s">
        <v>36</v>
      </c>
      <c r="F77" s="40"/>
      <c r="G77" s="42"/>
      <c r="H77" s="134" t="s">
        <v>14</v>
      </c>
      <c r="I77" s="135"/>
      <c r="J77" s="135"/>
      <c r="K77" s="136"/>
      <c r="L77" s="46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7" s="46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7" s="46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7" s="46">
        <f t="shared" ca="1" si="54"/>
        <v>0</v>
      </c>
      <c r="P77" s="46">
        <f t="shared" ca="1" si="55"/>
        <v>0</v>
      </c>
      <c r="Q77" s="46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7" s="46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7" s="46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7" s="48">
        <f t="shared" ca="1" si="57"/>
        <v>0</v>
      </c>
      <c r="U77" s="48">
        <f t="shared" ca="1" si="58"/>
        <v>0</v>
      </c>
    </row>
    <row r="78" spans="1:21" ht="18.75" x14ac:dyDescent="0.25">
      <c r="A78" s="128"/>
      <c r="B78" s="40"/>
      <c r="C78" s="40"/>
      <c r="D78" s="40"/>
      <c r="E78" s="47" t="s">
        <v>37</v>
      </c>
      <c r="F78" s="40"/>
      <c r="G78" s="42"/>
      <c r="H78" s="134" t="s">
        <v>14</v>
      </c>
      <c r="I78" s="135"/>
      <c r="J78" s="135"/>
      <c r="K78" s="136"/>
      <c r="L78" s="46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639900)</f>
        <v>639900</v>
      </c>
      <c r="M78" s="46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639900)</f>
        <v>639900</v>
      </c>
      <c r="N78" s="46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381057.39)</f>
        <v>381057.39</v>
      </c>
      <c r="O78" s="46">
        <f t="shared" ca="1" si="54"/>
        <v>59.54952180028129</v>
      </c>
      <c r="P78" s="46">
        <f t="shared" ca="1" si="55"/>
        <v>59.54952180028129</v>
      </c>
      <c r="Q78" s="46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8" s="46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8" s="46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3200)</f>
        <v>3200</v>
      </c>
      <c r="T78" s="46">
        <f t="shared" ca="1" si="57"/>
        <v>0.20972439592820086</v>
      </c>
      <c r="U78" s="46">
        <f t="shared" ca="1" si="58"/>
        <v>0.20972439592820086</v>
      </c>
    </row>
    <row r="79" spans="1:21" ht="18.75" x14ac:dyDescent="0.25">
      <c r="A79" s="128"/>
      <c r="B79" s="40"/>
      <c r="C79" s="40"/>
      <c r="D79" s="41" t="s">
        <v>23</v>
      </c>
      <c r="E79" s="40"/>
      <c r="F79" s="40"/>
      <c r="G79" s="42"/>
      <c r="H79" s="137" t="s">
        <v>14</v>
      </c>
      <c r="I79" s="135"/>
      <c r="J79" s="135"/>
      <c r="K79" s="136"/>
      <c r="L79" s="46">
        <f t="shared" ref="L79:N79" ca="1" si="65">L80+L81</f>
        <v>0</v>
      </c>
      <c r="M79" s="46">
        <f t="shared" ca="1" si="65"/>
        <v>0</v>
      </c>
      <c r="N79" s="46">
        <f t="shared" ca="1" si="65"/>
        <v>0</v>
      </c>
      <c r="O79" s="46">
        <f t="shared" ca="1" si="54"/>
        <v>0</v>
      </c>
      <c r="P79" s="46">
        <f t="shared" ca="1" si="55"/>
        <v>0</v>
      </c>
      <c r="Q79" s="46">
        <f t="shared" ref="Q79:S79" ca="1" si="66">Q80+Q81</f>
        <v>0</v>
      </c>
      <c r="R79" s="46">
        <f t="shared" ca="1" si="66"/>
        <v>0</v>
      </c>
      <c r="S79" s="46">
        <f t="shared" ca="1" si="66"/>
        <v>0</v>
      </c>
      <c r="T79" s="46">
        <f t="shared" ca="1" si="57"/>
        <v>0</v>
      </c>
      <c r="U79" s="46">
        <f t="shared" ca="1" si="58"/>
        <v>0</v>
      </c>
    </row>
    <row r="80" spans="1:21" ht="18.75" x14ac:dyDescent="0.25">
      <c r="A80" s="128"/>
      <c r="B80" s="40"/>
      <c r="C80" s="40"/>
      <c r="D80" s="40"/>
      <c r="E80" s="47" t="s">
        <v>20</v>
      </c>
      <c r="F80" s="40"/>
      <c r="G80" s="42"/>
      <c r="H80" s="134" t="s">
        <v>14</v>
      </c>
      <c r="I80" s="135"/>
      <c r="J80" s="135"/>
      <c r="K80" s="136"/>
      <c r="L80" s="46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80" s="46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80" s="46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80" s="46">
        <f t="shared" ca="1" si="54"/>
        <v>0</v>
      </c>
      <c r="P80" s="46">
        <f t="shared" ca="1" si="55"/>
        <v>0</v>
      </c>
      <c r="Q80" s="46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80" s="46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80" s="46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80" s="48">
        <f t="shared" ca="1" si="57"/>
        <v>0</v>
      </c>
      <c r="U80" s="48">
        <f t="shared" ca="1" si="58"/>
        <v>0</v>
      </c>
    </row>
    <row r="81" spans="1:21" ht="18.75" x14ac:dyDescent="0.25">
      <c r="A81" s="128"/>
      <c r="B81" s="40"/>
      <c r="C81" s="40"/>
      <c r="D81" s="40"/>
      <c r="E81" s="47" t="s">
        <v>21</v>
      </c>
      <c r="F81" s="40"/>
      <c r="G81" s="42"/>
      <c r="H81" s="137" t="s">
        <v>14</v>
      </c>
      <c r="I81" s="135"/>
      <c r="J81" s="135"/>
      <c r="K81" s="136"/>
      <c r="L81" s="46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1" s="46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1" s="46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1" s="46">
        <f t="shared" ca="1" si="54"/>
        <v>0</v>
      </c>
      <c r="P81" s="46">
        <f t="shared" ca="1" si="55"/>
        <v>0</v>
      </c>
      <c r="Q81" s="46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1" s="46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1" s="46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1" s="46">
        <f t="shared" ca="1" si="57"/>
        <v>0</v>
      </c>
      <c r="U81" s="46">
        <f t="shared" ca="1" si="58"/>
        <v>0</v>
      </c>
    </row>
    <row r="82" spans="1:21" ht="19.5" x14ac:dyDescent="0.3">
      <c r="A82" s="138"/>
      <c r="B82" s="139"/>
      <c r="C82" s="129" t="s">
        <v>18</v>
      </c>
      <c r="D82" s="140" t="s">
        <v>38</v>
      </c>
      <c r="E82" s="141"/>
      <c r="F82" s="141"/>
      <c r="G82" s="142"/>
      <c r="H82" s="143"/>
      <c r="I82" s="135"/>
      <c r="J82" s="135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t="shared" ref="I83:J83" ca="1" si="67">I85+I87+I89</f>
        <v>4</v>
      </c>
      <c r="J83" s="147">
        <f t="shared" ca="1" si="67"/>
        <v>0</v>
      </c>
      <c r="K83" s="148">
        <f t="shared" ref="K83:K91" ca="1" si="68">IF(I83&gt;0,J83*100/I83,0)</f>
        <v>0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t="shared" ref="I84:J84" ca="1" si="69">I86+I88+I90</f>
        <v>121</v>
      </c>
      <c r="J84" s="147">
        <f t="shared" ca="1" si="69"/>
        <v>0</v>
      </c>
      <c r="K84" s="148">
        <f t="shared" ca="1" si="68"/>
        <v>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5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0)</f>
        <v>0</v>
      </c>
      <c r="K85" s="153">
        <f t="shared" ca="1" si="68"/>
        <v>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6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0)</f>
        <v>0</v>
      </c>
      <c r="K86" s="153">
        <f t="shared" ca="1" si="68"/>
        <v>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7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0)</f>
        <v>0</v>
      </c>
      <c r="K87" s="153">
        <f t="shared" ca="1" si="68"/>
        <v>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8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9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90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1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1" s="153">
        <f t="shared" ca="1" si="68"/>
        <v>0</v>
      </c>
      <c r="L91" s="136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55"/>
      <c r="I92" s="121"/>
      <c r="J92" s="121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56" t="s">
        <v>46</v>
      </c>
      <c r="I93" s="127">
        <f t="shared" ref="I93:J93" ca="1" si="70">I109</f>
        <v>297</v>
      </c>
      <c r="J93" s="127">
        <f t="shared" ca="1" si="70"/>
        <v>147</v>
      </c>
      <c r="K93" s="34">
        <f t="shared" ref="K93:K94" ca="1" si="71">IF(I93&gt;0,J93*100/I93,0)</f>
        <v>49.494949494949495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56" t="s">
        <v>35</v>
      </c>
      <c r="I94" s="127">
        <f t="shared" ref="I94:J94" ca="1" si="72">I110</f>
        <v>99</v>
      </c>
      <c r="J94" s="127">
        <f t="shared" ca="1" si="72"/>
        <v>49</v>
      </c>
      <c r="K94" s="34">
        <f t="shared" ca="1" si="71"/>
        <v>49.494949494949495</v>
      </c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40"/>
      <c r="C95" s="129" t="s">
        <v>18</v>
      </c>
      <c r="D95" s="130" t="s">
        <v>19</v>
      </c>
      <c r="E95" s="40"/>
      <c r="F95" s="40"/>
      <c r="G95" s="42"/>
      <c r="H95" s="131" t="s">
        <v>14</v>
      </c>
      <c r="I95" s="44"/>
      <c r="J95" s="44"/>
      <c r="K95" s="45"/>
      <c r="L95" s="132">
        <f t="shared" ref="L95:N95" ca="1" si="73">L96+L97</f>
        <v>0</v>
      </c>
      <c r="M95" s="132">
        <f t="shared" ca="1" si="73"/>
        <v>0</v>
      </c>
      <c r="N95" s="132">
        <f t="shared" ca="1" si="73"/>
        <v>0</v>
      </c>
      <c r="O95" s="132">
        <f t="shared" ref="O95:O103" ca="1" si="74">IF(L95&gt;0,N95*100/L95,0)</f>
        <v>0</v>
      </c>
      <c r="P95" s="132">
        <f t="shared" ref="P95:P103" ca="1" si="75">IF(M95&gt;0,N95*100/M95,0)</f>
        <v>0</v>
      </c>
      <c r="Q95" s="132">
        <f t="shared" ref="Q95:S95" ca="1" si="76">Q96+Q97</f>
        <v>835758</v>
      </c>
      <c r="R95" s="132">
        <f t="shared" ca="1" si="76"/>
        <v>835758</v>
      </c>
      <c r="S95" s="132">
        <f t="shared" ca="1" si="76"/>
        <v>91220</v>
      </c>
      <c r="T95" s="132">
        <f t="shared" ref="T95:T103" ca="1" si="77">IF(Q95&gt;0,S95*100/Q95,0)</f>
        <v>10.914642755438775</v>
      </c>
      <c r="U95" s="132">
        <f t="shared" ref="U95:U103" ca="1" si="78">IF(R95&gt;0,S95*100/R95,0)</f>
        <v>10.914642755438775</v>
      </c>
    </row>
    <row r="96" spans="1:21" ht="18.75" x14ac:dyDescent="0.25">
      <c r="A96" s="128"/>
      <c r="B96" s="40"/>
      <c r="C96" s="40"/>
      <c r="D96" s="40"/>
      <c r="E96" s="157" t="s">
        <v>20</v>
      </c>
      <c r="F96" s="40"/>
      <c r="G96" s="42"/>
      <c r="H96" s="158" t="s">
        <v>14</v>
      </c>
      <c r="I96" s="44"/>
      <c r="J96" s="44"/>
      <c r="K96" s="45"/>
      <c r="L96" s="48">
        <f t="shared" ref="L96:N96" ca="1" si="79">L99+L102</f>
        <v>0</v>
      </c>
      <c r="M96" s="48">
        <f t="shared" ca="1" si="79"/>
        <v>0</v>
      </c>
      <c r="N96" s="48">
        <f t="shared" ca="1" si="79"/>
        <v>0</v>
      </c>
      <c r="O96" s="48">
        <f t="shared" ca="1" si="74"/>
        <v>0</v>
      </c>
      <c r="P96" s="48">
        <f t="shared" ca="1" si="75"/>
        <v>0</v>
      </c>
      <c r="Q96" s="48">
        <f t="shared" ref="Q96:S96" ca="1" si="80">Q99+Q102</f>
        <v>0</v>
      </c>
      <c r="R96" s="48">
        <f t="shared" ca="1" si="80"/>
        <v>0</v>
      </c>
      <c r="S96" s="48">
        <f t="shared" ca="1" si="80"/>
        <v>0</v>
      </c>
      <c r="T96" s="48">
        <f t="shared" ca="1" si="77"/>
        <v>0</v>
      </c>
      <c r="U96" s="48">
        <f t="shared" ca="1" si="78"/>
        <v>0</v>
      </c>
    </row>
    <row r="97" spans="1:21" ht="18.75" x14ac:dyDescent="0.25">
      <c r="A97" s="128"/>
      <c r="B97" s="40"/>
      <c r="C97" s="40"/>
      <c r="D97" s="40"/>
      <c r="E97" s="47" t="s">
        <v>21</v>
      </c>
      <c r="F97" s="40"/>
      <c r="G97" s="42"/>
      <c r="H97" s="133" t="s">
        <v>14</v>
      </c>
      <c r="I97" s="44"/>
      <c r="J97" s="44"/>
      <c r="K97" s="45"/>
      <c r="L97" s="46">
        <f t="shared" ref="L97:N97" ca="1" si="81">L100+L103</f>
        <v>0</v>
      </c>
      <c r="M97" s="46">
        <f t="shared" ca="1" si="81"/>
        <v>0</v>
      </c>
      <c r="N97" s="46">
        <f t="shared" ca="1" si="81"/>
        <v>0</v>
      </c>
      <c r="O97" s="46">
        <f t="shared" ca="1" si="74"/>
        <v>0</v>
      </c>
      <c r="P97" s="46">
        <f t="shared" ca="1" si="75"/>
        <v>0</v>
      </c>
      <c r="Q97" s="46">
        <f t="shared" ref="Q97:S97" ca="1" si="82">Q100+Q103</f>
        <v>835758</v>
      </c>
      <c r="R97" s="46">
        <f t="shared" ca="1" si="82"/>
        <v>835758</v>
      </c>
      <c r="S97" s="46">
        <f t="shared" ca="1" si="82"/>
        <v>91220</v>
      </c>
      <c r="T97" s="46">
        <f t="shared" ca="1" si="77"/>
        <v>10.914642755438775</v>
      </c>
      <c r="U97" s="46">
        <f t="shared" ca="1" si="78"/>
        <v>10.914642755438775</v>
      </c>
    </row>
    <row r="98" spans="1:21" ht="18.75" x14ac:dyDescent="0.25">
      <c r="A98" s="128"/>
      <c r="B98" s="159"/>
      <c r="C98" s="40"/>
      <c r="D98" s="41" t="s">
        <v>22</v>
      </c>
      <c r="E98" s="40"/>
      <c r="F98" s="40"/>
      <c r="G98" s="42"/>
      <c r="H98" s="134" t="s">
        <v>14</v>
      </c>
      <c r="I98" s="135"/>
      <c r="J98" s="135"/>
      <c r="K98" s="136"/>
      <c r="L98" s="46">
        <f t="shared" ref="L98:N98" ca="1" si="83">L99+L100</f>
        <v>0</v>
      </c>
      <c r="M98" s="46">
        <f t="shared" ca="1" si="83"/>
        <v>0</v>
      </c>
      <c r="N98" s="46">
        <f t="shared" ca="1" si="83"/>
        <v>0</v>
      </c>
      <c r="O98" s="46">
        <f t="shared" ca="1" si="74"/>
        <v>0</v>
      </c>
      <c r="P98" s="46">
        <f t="shared" ca="1" si="75"/>
        <v>0</v>
      </c>
      <c r="Q98" s="46">
        <f t="shared" ref="Q98:S98" ca="1" si="84">Q99+Q100</f>
        <v>835758</v>
      </c>
      <c r="R98" s="46">
        <f t="shared" ca="1" si="84"/>
        <v>835758</v>
      </c>
      <c r="S98" s="46">
        <f t="shared" ca="1" si="84"/>
        <v>91220</v>
      </c>
      <c r="T98" s="46">
        <f t="shared" ca="1" si="77"/>
        <v>10.914642755438775</v>
      </c>
      <c r="U98" s="46">
        <f t="shared" ca="1" si="78"/>
        <v>10.914642755438775</v>
      </c>
    </row>
    <row r="99" spans="1:21" ht="18.75" x14ac:dyDescent="0.25">
      <c r="A99" s="128"/>
      <c r="B99" s="159"/>
      <c r="C99" s="159"/>
      <c r="D99" s="40"/>
      <c r="E99" s="157" t="s">
        <v>36</v>
      </c>
      <c r="F99" s="40"/>
      <c r="G99" s="42"/>
      <c r="H99" s="160" t="s">
        <v>14</v>
      </c>
      <c r="I99" s="135"/>
      <c r="J99" s="135"/>
      <c r="K99" s="136"/>
      <c r="L99" s="48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9" s="48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9" s="48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9" s="48">
        <f t="shared" ca="1" si="74"/>
        <v>0</v>
      </c>
      <c r="P99" s="48">
        <f t="shared" ca="1" si="75"/>
        <v>0</v>
      </c>
      <c r="Q99" s="48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9" s="48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9" s="48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9" s="48">
        <f t="shared" ca="1" si="77"/>
        <v>0</v>
      </c>
      <c r="U99" s="48">
        <f t="shared" ca="1" si="78"/>
        <v>0</v>
      </c>
    </row>
    <row r="100" spans="1:21" ht="18.75" x14ac:dyDescent="0.25">
      <c r="A100" s="128"/>
      <c r="B100" s="159"/>
      <c r="C100" s="159"/>
      <c r="D100" s="40"/>
      <c r="E100" s="47" t="s">
        <v>37</v>
      </c>
      <c r="F100" s="40"/>
      <c r="G100" s="42"/>
      <c r="H100" s="134" t="s">
        <v>14</v>
      </c>
      <c r="I100" s="135"/>
      <c r="J100" s="135"/>
      <c r="K100" s="136"/>
      <c r="L100" s="46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0)</f>
        <v>0</v>
      </c>
      <c r="M100" s="46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0)</f>
        <v>0</v>
      </c>
      <c r="N100" s="46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0)</f>
        <v>0</v>
      </c>
      <c r="O100" s="46">
        <f t="shared" ca="1" si="74"/>
        <v>0</v>
      </c>
      <c r="P100" s="46">
        <f t="shared" ca="1" si="75"/>
        <v>0</v>
      </c>
      <c r="Q100" s="46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100" s="46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100" s="46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91220)</f>
        <v>91220</v>
      </c>
      <c r="T100" s="46">
        <f t="shared" ca="1" si="77"/>
        <v>10.914642755438775</v>
      </c>
      <c r="U100" s="46">
        <f t="shared" ca="1" si="78"/>
        <v>10.914642755438775</v>
      </c>
    </row>
    <row r="101" spans="1:21" ht="18.75" x14ac:dyDescent="0.25">
      <c r="A101" s="128"/>
      <c r="B101" s="159"/>
      <c r="C101" s="159"/>
      <c r="D101" s="161" t="s">
        <v>23</v>
      </c>
      <c r="E101" s="40"/>
      <c r="F101" s="40"/>
      <c r="G101" s="42"/>
      <c r="H101" s="137" t="s">
        <v>14</v>
      </c>
      <c r="I101" s="135"/>
      <c r="J101" s="135"/>
      <c r="K101" s="136"/>
      <c r="L101" s="46">
        <f t="shared" ref="L101:N101" ca="1" si="85">L102+L103</f>
        <v>0</v>
      </c>
      <c r="M101" s="46">
        <f t="shared" ca="1" si="85"/>
        <v>0</v>
      </c>
      <c r="N101" s="46">
        <f t="shared" ca="1" si="85"/>
        <v>0</v>
      </c>
      <c r="O101" s="46">
        <f t="shared" ca="1" si="74"/>
        <v>0</v>
      </c>
      <c r="P101" s="46">
        <f t="shared" ca="1" si="75"/>
        <v>0</v>
      </c>
      <c r="Q101" s="46">
        <f t="shared" ref="Q101:S101" ca="1" si="86">Q102+Q103</f>
        <v>0</v>
      </c>
      <c r="R101" s="46">
        <f t="shared" ca="1" si="86"/>
        <v>0</v>
      </c>
      <c r="S101" s="46">
        <f t="shared" ca="1" si="86"/>
        <v>0</v>
      </c>
      <c r="T101" s="46">
        <f t="shared" ca="1" si="77"/>
        <v>0</v>
      </c>
      <c r="U101" s="46">
        <f t="shared" ca="1" si="78"/>
        <v>0</v>
      </c>
    </row>
    <row r="102" spans="1:21" ht="18.75" x14ac:dyDescent="0.25">
      <c r="A102" s="128"/>
      <c r="B102" s="159"/>
      <c r="C102" s="159"/>
      <c r="D102" s="40"/>
      <c r="E102" s="157" t="s">
        <v>20</v>
      </c>
      <c r="F102" s="40"/>
      <c r="G102" s="42"/>
      <c r="H102" s="160" t="s">
        <v>14</v>
      </c>
      <c r="I102" s="135"/>
      <c r="J102" s="135"/>
      <c r="K102" s="136"/>
      <c r="L102" s="48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2" s="48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2" s="48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2" s="48">
        <f t="shared" ca="1" si="74"/>
        <v>0</v>
      </c>
      <c r="P102" s="48">
        <f t="shared" ca="1" si="75"/>
        <v>0</v>
      </c>
      <c r="Q102" s="48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2" s="48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2" s="48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2" s="48">
        <f t="shared" ca="1" si="77"/>
        <v>0</v>
      </c>
      <c r="U102" s="48">
        <f t="shared" ca="1" si="78"/>
        <v>0</v>
      </c>
    </row>
    <row r="103" spans="1:21" ht="18.75" x14ac:dyDescent="0.25">
      <c r="A103" s="128"/>
      <c r="B103" s="159"/>
      <c r="C103" s="159"/>
      <c r="D103" s="40"/>
      <c r="E103" s="47" t="s">
        <v>21</v>
      </c>
      <c r="F103" s="40"/>
      <c r="G103" s="42"/>
      <c r="H103" s="137" t="s">
        <v>14</v>
      </c>
      <c r="I103" s="135"/>
      <c r="J103" s="135"/>
      <c r="K103" s="136"/>
      <c r="L103" s="46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3" s="46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3" s="46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3" s="46">
        <f t="shared" ca="1" si="74"/>
        <v>0</v>
      </c>
      <c r="P103" s="46">
        <f t="shared" ca="1" si="75"/>
        <v>0</v>
      </c>
      <c r="Q103" s="46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3" s="46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3" s="46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3" s="46">
        <f t="shared" ca="1" si="77"/>
        <v>0</v>
      </c>
      <c r="U103" s="46">
        <f t="shared" ca="1" si="78"/>
        <v>0</v>
      </c>
    </row>
    <row r="104" spans="1:21" ht="19.5" x14ac:dyDescent="0.3">
      <c r="A104" s="138"/>
      <c r="B104" s="139"/>
      <c r="C104" s="162" t="s">
        <v>18</v>
      </c>
      <c r="D104" s="140" t="s">
        <v>38</v>
      </c>
      <c r="E104" s="141"/>
      <c r="F104" s="141"/>
      <c r="G104" s="142"/>
      <c r="H104" s="143"/>
      <c r="I104" s="135"/>
      <c r="J104" s="44"/>
      <c r="K104" s="45"/>
      <c r="L104" s="45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2"/>
      <c r="I108" s="44"/>
      <c r="J108" s="44"/>
      <c r="K108" s="45"/>
      <c r="L108" s="4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45"/>
      <c r="F109" s="145"/>
      <c r="G109" s="143"/>
      <c r="H109" s="43" t="s">
        <v>46</v>
      </c>
      <c r="I109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9" s="168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147)</f>
        <v>147</v>
      </c>
      <c r="K109" s="46">
        <f t="shared" ref="K109:K110" ca="1" si="87">IF(I109&gt;0,J109*100/I109,0)</f>
        <v>49.494949494949495</v>
      </c>
      <c r="L109" s="4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69"/>
      <c r="F110" s="145"/>
      <c r="G110" s="143"/>
      <c r="H110" s="43" t="s">
        <v>35</v>
      </c>
      <c r="I110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10" s="168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49)</f>
        <v>49</v>
      </c>
      <c r="K110" s="46">
        <f t="shared" ca="1" si="87"/>
        <v>49.494949494949495</v>
      </c>
      <c r="L110" s="45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64"/>
      <c r="E113" s="18"/>
      <c r="F113" s="18"/>
      <c r="G113" s="19"/>
      <c r="H113" s="19"/>
      <c r="I113" s="20"/>
      <c r="J113" s="20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172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4" s="177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0)</f>
        <v>0</v>
      </c>
      <c r="K114" s="178">
        <f t="shared" ref="K114:K115" ca="1" si="88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45"/>
      <c r="E115" s="145"/>
      <c r="F115" s="145"/>
      <c r="G115" s="143"/>
      <c r="H115" s="150" t="s">
        <v>35</v>
      </c>
      <c r="I115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5" s="168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0)</f>
        <v>0</v>
      </c>
      <c r="K115" s="46">
        <f t="shared" ca="1" si="88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117" t="s">
        <v>51</v>
      </c>
      <c r="B116" s="119"/>
      <c r="C116" s="181"/>
      <c r="D116" s="118"/>
      <c r="E116" s="118"/>
      <c r="F116" s="118"/>
      <c r="G116" s="118"/>
      <c r="H116" s="119"/>
      <c r="I116" s="182"/>
      <c r="J116" s="182"/>
      <c r="K116" s="18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89">I128</f>
        <v>255</v>
      </c>
      <c r="J117" s="127">
        <f t="shared" ca="1" si="89"/>
        <v>145</v>
      </c>
      <c r="K117" s="34">
        <f ca="1">IF(I117&gt;0,J117*100/I117,0)</f>
        <v>56.862745098039213</v>
      </c>
      <c r="L117" s="3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162" t="s">
        <v>18</v>
      </c>
      <c r="D118" s="130" t="s">
        <v>19</v>
      </c>
      <c r="E118" s="40"/>
      <c r="F118" s="40"/>
      <c r="G118" s="42"/>
      <c r="H118" s="131" t="s">
        <v>14</v>
      </c>
      <c r="I118" s="44"/>
      <c r="J118" s="44"/>
      <c r="K118" s="45"/>
      <c r="L118" s="132">
        <f t="shared" ref="L118:N118" ca="1" si="90">L119+L120</f>
        <v>0</v>
      </c>
      <c r="M118" s="132">
        <f t="shared" ca="1" si="90"/>
        <v>0</v>
      </c>
      <c r="N118" s="132">
        <f t="shared" ca="1" si="90"/>
        <v>0</v>
      </c>
      <c r="O118" s="132">
        <f t="shared" ref="O118:O126" ca="1" si="91">IF(L118&gt;0,N118*100/L118,0)</f>
        <v>0</v>
      </c>
      <c r="P118" s="132">
        <f t="shared" ref="P118:P126" ca="1" si="92">IF(M118&gt;0,N118*100/M118,0)</f>
        <v>0</v>
      </c>
      <c r="Q118" s="132">
        <f t="shared" ref="Q118:S118" ca="1" si="93">Q119+Q120</f>
        <v>6161560</v>
      </c>
      <c r="R118" s="132">
        <f t="shared" ca="1" si="93"/>
        <v>6161560</v>
      </c>
      <c r="S118" s="132">
        <f t="shared" ca="1" si="93"/>
        <v>930937.09</v>
      </c>
      <c r="T118" s="132">
        <f t="shared" ref="T118:T126" ca="1" si="94">IF(Q118&gt;0,S118*100/Q118,0)</f>
        <v>15.108788845681937</v>
      </c>
      <c r="U118" s="132">
        <f t="shared" ref="U118:U126" ca="1" si="95">IF(R118&gt;0,S118*100/R118,0)</f>
        <v>15.108788845681937</v>
      </c>
    </row>
    <row r="119" spans="1:21" ht="18.75" x14ac:dyDescent="0.25">
      <c r="A119" s="128"/>
      <c r="B119" s="159"/>
      <c r="C119" s="159"/>
      <c r="D119" s="159"/>
      <c r="E119" s="157" t="s">
        <v>20</v>
      </c>
      <c r="F119" s="40"/>
      <c r="G119" s="42"/>
      <c r="H119" s="158" t="s">
        <v>14</v>
      </c>
      <c r="I119" s="44"/>
      <c r="J119" s="44"/>
      <c r="K119" s="45"/>
      <c r="L119" s="48">
        <f t="shared" ref="L119:N119" ca="1" si="96">L122+L125</f>
        <v>0</v>
      </c>
      <c r="M119" s="48">
        <f t="shared" ca="1" si="96"/>
        <v>0</v>
      </c>
      <c r="N119" s="48">
        <f t="shared" ca="1" si="96"/>
        <v>0</v>
      </c>
      <c r="O119" s="48">
        <f t="shared" ca="1" si="91"/>
        <v>0</v>
      </c>
      <c r="P119" s="48">
        <f t="shared" ca="1" si="92"/>
        <v>0</v>
      </c>
      <c r="Q119" s="48">
        <f t="shared" ref="Q119:S119" ca="1" si="97">Q122+Q125</f>
        <v>0</v>
      </c>
      <c r="R119" s="48">
        <f t="shared" ca="1" si="97"/>
        <v>0</v>
      </c>
      <c r="S119" s="48">
        <f t="shared" ca="1" si="97"/>
        <v>0</v>
      </c>
      <c r="T119" s="48">
        <f t="shared" ca="1" si="94"/>
        <v>0</v>
      </c>
      <c r="U119" s="48">
        <f t="shared" ca="1" si="95"/>
        <v>0</v>
      </c>
    </row>
    <row r="120" spans="1:21" ht="18.75" x14ac:dyDescent="0.25">
      <c r="A120" s="128"/>
      <c r="B120" s="159"/>
      <c r="C120" s="159"/>
      <c r="D120" s="159"/>
      <c r="E120" s="47" t="s">
        <v>21</v>
      </c>
      <c r="F120" s="40"/>
      <c r="G120" s="42"/>
      <c r="H120" s="133" t="s">
        <v>14</v>
      </c>
      <c r="I120" s="44"/>
      <c r="J120" s="44"/>
      <c r="K120" s="45"/>
      <c r="L120" s="46">
        <f t="shared" ref="L120:N120" ca="1" si="98">L123+L126</f>
        <v>0</v>
      </c>
      <c r="M120" s="46">
        <f t="shared" ca="1" si="98"/>
        <v>0</v>
      </c>
      <c r="N120" s="46">
        <f t="shared" ca="1" si="98"/>
        <v>0</v>
      </c>
      <c r="O120" s="46">
        <f t="shared" ca="1" si="91"/>
        <v>0</v>
      </c>
      <c r="P120" s="46">
        <f t="shared" ca="1" si="92"/>
        <v>0</v>
      </c>
      <c r="Q120" s="46">
        <f t="shared" ref="Q120:S120" ca="1" si="99">Q123+Q126</f>
        <v>6161560</v>
      </c>
      <c r="R120" s="46">
        <f t="shared" ca="1" si="99"/>
        <v>6161560</v>
      </c>
      <c r="S120" s="46">
        <f t="shared" ca="1" si="99"/>
        <v>930937.09</v>
      </c>
      <c r="T120" s="46">
        <f t="shared" ca="1" si="94"/>
        <v>15.108788845681937</v>
      </c>
      <c r="U120" s="46">
        <f t="shared" ca="1" si="95"/>
        <v>15.108788845681937</v>
      </c>
    </row>
    <row r="121" spans="1:21" ht="18.75" x14ac:dyDescent="0.25">
      <c r="A121" s="128"/>
      <c r="B121" s="159"/>
      <c r="C121" s="187"/>
      <c r="D121" s="161" t="s">
        <v>22</v>
      </c>
      <c r="E121" s="40"/>
      <c r="F121" s="40"/>
      <c r="G121" s="42"/>
      <c r="H121" s="188" t="s">
        <v>14</v>
      </c>
      <c r="I121" s="44"/>
      <c r="J121" s="44"/>
      <c r="K121" s="45"/>
      <c r="L121" s="46">
        <f t="shared" ref="L121:N121" ca="1" si="100">L122+L123</f>
        <v>0</v>
      </c>
      <c r="M121" s="46">
        <f t="shared" ca="1" si="100"/>
        <v>0</v>
      </c>
      <c r="N121" s="46">
        <f t="shared" ca="1" si="100"/>
        <v>0</v>
      </c>
      <c r="O121" s="46">
        <f t="shared" ca="1" si="91"/>
        <v>0</v>
      </c>
      <c r="P121" s="46">
        <f t="shared" ca="1" si="92"/>
        <v>0</v>
      </c>
      <c r="Q121" s="46">
        <f t="shared" ref="Q121:S121" ca="1" si="101">Q122+Q123</f>
        <v>6161560</v>
      </c>
      <c r="R121" s="46">
        <f t="shared" ca="1" si="101"/>
        <v>6161560</v>
      </c>
      <c r="S121" s="46">
        <f t="shared" ca="1" si="101"/>
        <v>930937.09</v>
      </c>
      <c r="T121" s="46">
        <f t="shared" ca="1" si="94"/>
        <v>15.108788845681937</v>
      </c>
      <c r="U121" s="46">
        <f t="shared" ca="1" si="95"/>
        <v>15.108788845681937</v>
      </c>
    </row>
    <row r="122" spans="1:21" ht="18.75" x14ac:dyDescent="0.25">
      <c r="A122" s="128"/>
      <c r="B122" s="159"/>
      <c r="C122" s="187"/>
      <c r="D122" s="159"/>
      <c r="E122" s="157" t="s">
        <v>36</v>
      </c>
      <c r="F122" s="40"/>
      <c r="G122" s="42"/>
      <c r="H122" s="189" t="s">
        <v>14</v>
      </c>
      <c r="I122" s="44"/>
      <c r="J122" s="44"/>
      <c r="K122" s="45"/>
      <c r="L122" s="48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2" s="48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2" s="48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2" s="48">
        <f t="shared" ca="1" si="91"/>
        <v>0</v>
      </c>
      <c r="P122" s="48">
        <f t="shared" ca="1" si="92"/>
        <v>0</v>
      </c>
      <c r="Q122" s="48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2" s="48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2" s="48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2" s="48">
        <f t="shared" ca="1" si="94"/>
        <v>0</v>
      </c>
      <c r="U122" s="48">
        <f t="shared" ca="1" si="95"/>
        <v>0</v>
      </c>
    </row>
    <row r="123" spans="1:21" ht="18.75" x14ac:dyDescent="0.25">
      <c r="A123" s="128"/>
      <c r="B123" s="159"/>
      <c r="C123" s="187"/>
      <c r="D123" s="159"/>
      <c r="E123" s="47" t="s">
        <v>37</v>
      </c>
      <c r="F123" s="40"/>
      <c r="G123" s="42"/>
      <c r="H123" s="188" t="s">
        <v>14</v>
      </c>
      <c r="I123" s="44"/>
      <c r="J123" s="44"/>
      <c r="K123" s="45"/>
      <c r="L123" s="46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3" s="46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3" s="46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3" s="46">
        <f t="shared" ca="1" si="91"/>
        <v>0</v>
      </c>
      <c r="P123" s="46">
        <f t="shared" ca="1" si="92"/>
        <v>0</v>
      </c>
      <c r="Q123" s="46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6161560)</f>
        <v>6161560</v>
      </c>
      <c r="R123" s="46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6161560)</f>
        <v>6161560</v>
      </c>
      <c r="S123" s="46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930937.09)</f>
        <v>930937.09</v>
      </c>
      <c r="T123" s="46">
        <f t="shared" ca="1" si="94"/>
        <v>15.108788845681937</v>
      </c>
      <c r="U123" s="46">
        <f t="shared" ca="1" si="95"/>
        <v>15.108788845681937</v>
      </c>
    </row>
    <row r="124" spans="1:21" ht="18.75" x14ac:dyDescent="0.25">
      <c r="A124" s="128"/>
      <c r="B124" s="40"/>
      <c r="C124" s="187"/>
      <c r="D124" s="161" t="s">
        <v>23</v>
      </c>
      <c r="E124" s="40"/>
      <c r="F124" s="40"/>
      <c r="G124" s="42"/>
      <c r="H124" s="133" t="s">
        <v>14</v>
      </c>
      <c r="I124" s="44"/>
      <c r="J124" s="44"/>
      <c r="K124" s="45"/>
      <c r="L124" s="46">
        <f t="shared" ref="L124:N124" ca="1" si="102">L125+L126</f>
        <v>0</v>
      </c>
      <c r="M124" s="46">
        <f t="shared" ca="1" si="102"/>
        <v>0</v>
      </c>
      <c r="N124" s="46">
        <f t="shared" ca="1" si="102"/>
        <v>0</v>
      </c>
      <c r="O124" s="46">
        <f t="shared" ca="1" si="91"/>
        <v>0</v>
      </c>
      <c r="P124" s="46">
        <f t="shared" ca="1" si="92"/>
        <v>0</v>
      </c>
      <c r="Q124" s="46">
        <f t="shared" ref="Q124:S124" ca="1" si="103">Q125+Q126</f>
        <v>0</v>
      </c>
      <c r="R124" s="46">
        <f t="shared" ca="1" si="103"/>
        <v>0</v>
      </c>
      <c r="S124" s="46">
        <f t="shared" ca="1" si="103"/>
        <v>0</v>
      </c>
      <c r="T124" s="46">
        <f t="shared" ca="1" si="94"/>
        <v>0</v>
      </c>
      <c r="U124" s="46">
        <f t="shared" ca="1" si="95"/>
        <v>0</v>
      </c>
    </row>
    <row r="125" spans="1:21" ht="18.75" x14ac:dyDescent="0.25">
      <c r="A125" s="128"/>
      <c r="B125" s="40"/>
      <c r="C125" s="187"/>
      <c r="D125" s="159"/>
      <c r="E125" s="157" t="s">
        <v>20</v>
      </c>
      <c r="F125" s="40"/>
      <c r="G125" s="42"/>
      <c r="H125" s="189" t="s">
        <v>14</v>
      </c>
      <c r="I125" s="44"/>
      <c r="J125" s="44"/>
      <c r="K125" s="45"/>
      <c r="L125" s="48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5" s="48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5" s="48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5" s="48">
        <f t="shared" ca="1" si="91"/>
        <v>0</v>
      </c>
      <c r="P125" s="48">
        <f t="shared" ca="1" si="92"/>
        <v>0</v>
      </c>
      <c r="Q125" s="48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5" s="48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5" s="48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5" s="48">
        <f t="shared" ca="1" si="94"/>
        <v>0</v>
      </c>
      <c r="U125" s="48">
        <f t="shared" ca="1" si="95"/>
        <v>0</v>
      </c>
    </row>
    <row r="126" spans="1:21" ht="18.75" x14ac:dyDescent="0.25">
      <c r="A126" s="128"/>
      <c r="B126" s="40"/>
      <c r="C126" s="40"/>
      <c r="D126" s="40"/>
      <c r="E126" s="47" t="s">
        <v>21</v>
      </c>
      <c r="F126" s="40"/>
      <c r="G126" s="42"/>
      <c r="H126" s="133" t="s">
        <v>14</v>
      </c>
      <c r="I126" s="44"/>
      <c r="J126" s="44"/>
      <c r="K126" s="45"/>
      <c r="L126" s="46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0)</f>
        <v>0</v>
      </c>
      <c r="M126" s="46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0)</f>
        <v>0</v>
      </c>
      <c r="N126" s="46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6" s="46">
        <f t="shared" ca="1" si="91"/>
        <v>0</v>
      </c>
      <c r="P126" s="46">
        <f t="shared" ca="1" si="92"/>
        <v>0</v>
      </c>
      <c r="Q126" s="46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0)</f>
        <v>0</v>
      </c>
      <c r="R126" s="46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0)</f>
        <v>0</v>
      </c>
      <c r="S126" s="46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6" s="46">
        <f t="shared" ca="1" si="94"/>
        <v>0</v>
      </c>
      <c r="U126" s="46">
        <f t="shared" ca="1" si="95"/>
        <v>0</v>
      </c>
    </row>
    <row r="127" spans="1:21" ht="19.5" x14ac:dyDescent="0.3">
      <c r="A127" s="138"/>
      <c r="B127" s="139"/>
      <c r="C127" s="190" t="s">
        <v>18</v>
      </c>
      <c r="D127" s="140" t="s">
        <v>38</v>
      </c>
      <c r="E127" s="141"/>
      <c r="F127" s="141"/>
      <c r="G127" s="142"/>
      <c r="H127" s="191"/>
      <c r="I127" s="44"/>
      <c r="J127" s="44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8" s="168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145)</f>
        <v>145</v>
      </c>
      <c r="K128" s="46">
        <f t="shared" ref="K128:K131" ca="1" si="104">IF(I128&gt;0,J128*100/I128,0)</f>
        <v>56.862745098039213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9" s="168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3)</f>
        <v>3</v>
      </c>
      <c r="K129" s="46">
        <f t="shared" ca="1" si="104"/>
        <v>0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30" s="168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115)</f>
        <v>115</v>
      </c>
      <c r="K130" s="46">
        <f t="shared" ca="1" si="104"/>
        <v>51.111111111111114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1" s="168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3)</f>
        <v>3</v>
      </c>
      <c r="K131" s="46">
        <f t="shared" ca="1" si="104"/>
        <v>0</v>
      </c>
      <c r="L131" s="4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45"/>
      <c r="F132" s="145"/>
      <c r="G132" s="143"/>
      <c r="H132" s="158" t="s">
        <v>35</v>
      </c>
      <c r="I132" s="44"/>
      <c r="J132" s="44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45"/>
      <c r="F133" s="145"/>
      <c r="G133" s="143"/>
      <c r="H133" s="193"/>
      <c r="I133" s="44"/>
      <c r="J133" s="44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26" t="s">
        <v>61</v>
      </c>
      <c r="I137" s="127">
        <f t="shared" ref="I137:J137" ca="1" si="105">I155</f>
        <v>5</v>
      </c>
      <c r="J137" s="127">
        <f t="shared" ca="1" si="105"/>
        <v>0</v>
      </c>
      <c r="K137" s="34">
        <f t="shared" ref="K137:K139" ca="1" si="106">IF(I137&gt;0,J137*100/I137,0)</f>
        <v>0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26" t="s">
        <v>35</v>
      </c>
      <c r="I138" s="127">
        <f t="shared" ref="I138:J138" ca="1" si="107">I153</f>
        <v>200</v>
      </c>
      <c r="J138" s="127">
        <f t="shared" ca="1" si="107"/>
        <v>20</v>
      </c>
      <c r="K138" s="34">
        <f t="shared" ca="1" si="106"/>
        <v>10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ref="I139:J139" ca="1" si="108">I154</f>
        <v>20</v>
      </c>
      <c r="J139" s="127">
        <f t="shared" ca="1" si="108"/>
        <v>2</v>
      </c>
      <c r="K139" s="34">
        <f t="shared" ca="1" si="106"/>
        <v>10</v>
      </c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40"/>
      <c r="C140" s="129" t="s">
        <v>18</v>
      </c>
      <c r="D140" s="130" t="s">
        <v>19</v>
      </c>
      <c r="E140" s="40"/>
      <c r="F140" s="40"/>
      <c r="G140" s="42"/>
      <c r="H140" s="131" t="s">
        <v>14</v>
      </c>
      <c r="I140" s="44"/>
      <c r="J140" s="44"/>
      <c r="K140" s="45"/>
      <c r="L140" s="132">
        <f t="shared" ref="L140:N140" ca="1" si="109">L141+L142</f>
        <v>597100</v>
      </c>
      <c r="M140" s="132">
        <f t="shared" ca="1" si="109"/>
        <v>562100</v>
      </c>
      <c r="N140" s="132">
        <f t="shared" ca="1" si="109"/>
        <v>260050.89</v>
      </c>
      <c r="O140" s="132">
        <f t="shared" ref="O140:O148" ca="1" si="110">IF(L140&gt;0,N140*100/L140,0)</f>
        <v>43.552317869703565</v>
      </c>
      <c r="P140" s="132">
        <f t="shared" ref="P140:P148" ca="1" si="111">IF(M140&gt;0,N140*100/M140,0)</f>
        <v>46.264168297455967</v>
      </c>
      <c r="Q140" s="132">
        <f t="shared" ref="Q140:S140" ca="1" si="112">Q141+Q142</f>
        <v>0</v>
      </c>
      <c r="R140" s="132">
        <f t="shared" ca="1" si="112"/>
        <v>0</v>
      </c>
      <c r="S140" s="132">
        <f t="shared" ca="1" si="112"/>
        <v>0</v>
      </c>
      <c r="T140" s="132">
        <f t="shared" ref="T140:T148" ca="1" si="113">IF(Q140&gt;0,S140*100/Q140,0)</f>
        <v>0</v>
      </c>
      <c r="U140" s="132">
        <f t="shared" ref="U140:U148" ca="1" si="114">IF(R140&gt;0,S140*100/R140,0)</f>
        <v>0</v>
      </c>
    </row>
    <row r="141" spans="1:21" ht="18.75" x14ac:dyDescent="0.25">
      <c r="A141" s="128"/>
      <c r="B141" s="40"/>
      <c r="C141" s="40"/>
      <c r="D141" s="40"/>
      <c r="E141" s="47" t="s">
        <v>20</v>
      </c>
      <c r="F141" s="40"/>
      <c r="G141" s="42"/>
      <c r="H141" s="133" t="s">
        <v>14</v>
      </c>
      <c r="I141" s="44"/>
      <c r="J141" s="44"/>
      <c r="K141" s="45"/>
      <c r="L141" s="46">
        <f t="shared" ref="L141:N141" ca="1" si="115">L144+L147</f>
        <v>0</v>
      </c>
      <c r="M141" s="46">
        <f t="shared" ca="1" si="115"/>
        <v>0</v>
      </c>
      <c r="N141" s="46">
        <f t="shared" ca="1" si="115"/>
        <v>0</v>
      </c>
      <c r="O141" s="46">
        <f t="shared" ca="1" si="110"/>
        <v>0</v>
      </c>
      <c r="P141" s="46">
        <f t="shared" ca="1" si="111"/>
        <v>0</v>
      </c>
      <c r="Q141" s="46">
        <f t="shared" ref="Q141:S141" ca="1" si="116">Q144+Q147</f>
        <v>0</v>
      </c>
      <c r="R141" s="46">
        <f t="shared" ca="1" si="116"/>
        <v>0</v>
      </c>
      <c r="S141" s="46">
        <f t="shared" ca="1" si="116"/>
        <v>0</v>
      </c>
      <c r="T141" s="48">
        <f t="shared" ca="1" si="113"/>
        <v>0</v>
      </c>
      <c r="U141" s="48">
        <f t="shared" ca="1" si="114"/>
        <v>0</v>
      </c>
    </row>
    <row r="142" spans="1:21" ht="18.75" x14ac:dyDescent="0.25">
      <c r="A142" s="128"/>
      <c r="B142" s="40"/>
      <c r="C142" s="40"/>
      <c r="D142" s="40"/>
      <c r="E142" s="47" t="s">
        <v>21</v>
      </c>
      <c r="F142" s="40"/>
      <c r="G142" s="42"/>
      <c r="H142" s="133" t="s">
        <v>14</v>
      </c>
      <c r="I142" s="44"/>
      <c r="J142" s="44"/>
      <c r="K142" s="45"/>
      <c r="L142" s="46">
        <f t="shared" ref="L142:N142" ca="1" si="117">L145+L148</f>
        <v>597100</v>
      </c>
      <c r="M142" s="46">
        <f t="shared" ca="1" si="117"/>
        <v>562100</v>
      </c>
      <c r="N142" s="46">
        <f t="shared" ca="1" si="117"/>
        <v>260050.89</v>
      </c>
      <c r="O142" s="46">
        <f t="shared" ca="1" si="110"/>
        <v>43.552317869703565</v>
      </c>
      <c r="P142" s="46">
        <f t="shared" ca="1" si="111"/>
        <v>46.264168297455967</v>
      </c>
      <c r="Q142" s="46">
        <f t="shared" ref="Q142:S142" ca="1" si="118">Q145+Q148</f>
        <v>0</v>
      </c>
      <c r="R142" s="46">
        <f t="shared" ca="1" si="118"/>
        <v>0</v>
      </c>
      <c r="S142" s="46">
        <f t="shared" ca="1" si="118"/>
        <v>0</v>
      </c>
      <c r="T142" s="46">
        <f t="shared" ca="1" si="113"/>
        <v>0</v>
      </c>
      <c r="U142" s="46">
        <f t="shared" ca="1" si="114"/>
        <v>0</v>
      </c>
    </row>
    <row r="143" spans="1:21" ht="18.75" x14ac:dyDescent="0.25">
      <c r="A143" s="128"/>
      <c r="B143" s="40"/>
      <c r="C143" s="40"/>
      <c r="D143" s="41" t="s">
        <v>22</v>
      </c>
      <c r="E143" s="40"/>
      <c r="F143" s="40"/>
      <c r="G143" s="42"/>
      <c r="H143" s="134" t="s">
        <v>14</v>
      </c>
      <c r="I143" s="135"/>
      <c r="J143" s="135"/>
      <c r="K143" s="136"/>
      <c r="L143" s="46">
        <f t="shared" ref="L143:N143" ca="1" si="119">L144+L145</f>
        <v>597100</v>
      </c>
      <c r="M143" s="46">
        <f t="shared" ca="1" si="119"/>
        <v>562100</v>
      </c>
      <c r="N143" s="46">
        <f t="shared" ca="1" si="119"/>
        <v>260050.89</v>
      </c>
      <c r="O143" s="46">
        <f t="shared" ca="1" si="110"/>
        <v>43.552317869703565</v>
      </c>
      <c r="P143" s="46">
        <f t="shared" ca="1" si="111"/>
        <v>46.264168297455967</v>
      </c>
      <c r="Q143" s="46">
        <f t="shared" ref="Q143:S143" ca="1" si="120">Q144+Q145</f>
        <v>0</v>
      </c>
      <c r="R143" s="46">
        <f t="shared" ca="1" si="120"/>
        <v>0</v>
      </c>
      <c r="S143" s="46">
        <f t="shared" ca="1" si="120"/>
        <v>0</v>
      </c>
      <c r="T143" s="46">
        <f t="shared" ca="1" si="113"/>
        <v>0</v>
      </c>
      <c r="U143" s="46">
        <f t="shared" ca="1" si="114"/>
        <v>0</v>
      </c>
    </row>
    <row r="144" spans="1:21" ht="18.75" x14ac:dyDescent="0.25">
      <c r="A144" s="128"/>
      <c r="B144" s="40"/>
      <c r="C144" s="40"/>
      <c r="D144" s="40"/>
      <c r="E144" s="47" t="s">
        <v>36</v>
      </c>
      <c r="F144" s="40"/>
      <c r="G144" s="42"/>
      <c r="H144" s="134" t="s">
        <v>14</v>
      </c>
      <c r="I144" s="135"/>
      <c r="J144" s="135"/>
      <c r="K144" s="136"/>
      <c r="L144" s="46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4" s="46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4" s="46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4" s="46">
        <f t="shared" ca="1" si="110"/>
        <v>0</v>
      </c>
      <c r="P144" s="46">
        <f t="shared" ca="1" si="111"/>
        <v>0</v>
      </c>
      <c r="Q144" s="46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4" s="46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4" s="46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4" s="48">
        <f t="shared" ca="1" si="113"/>
        <v>0</v>
      </c>
      <c r="U144" s="48">
        <f t="shared" ca="1" si="114"/>
        <v>0</v>
      </c>
    </row>
    <row r="145" spans="1:21" ht="18.75" x14ac:dyDescent="0.25">
      <c r="A145" s="128"/>
      <c r="B145" s="40"/>
      <c r="C145" s="40"/>
      <c r="D145" s="40"/>
      <c r="E145" s="47" t="s">
        <v>37</v>
      </c>
      <c r="F145" s="40"/>
      <c r="G145" s="42"/>
      <c r="H145" s="134" t="s">
        <v>14</v>
      </c>
      <c r="I145" s="135"/>
      <c r="J145" s="135"/>
      <c r="K145" s="136"/>
      <c r="L145" s="46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5" s="46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5" s="46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260050.89)</f>
        <v>260050.89</v>
      </c>
      <c r="O145" s="46">
        <f t="shared" ca="1" si="110"/>
        <v>43.552317869703565</v>
      </c>
      <c r="P145" s="46">
        <f t="shared" ca="1" si="111"/>
        <v>46.264168297455967</v>
      </c>
      <c r="Q145" s="46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0)</f>
        <v>0</v>
      </c>
      <c r="R145" s="46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0)</f>
        <v>0</v>
      </c>
      <c r="S145" s="46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0)</f>
        <v>0</v>
      </c>
      <c r="T145" s="46">
        <f t="shared" ca="1" si="113"/>
        <v>0</v>
      </c>
      <c r="U145" s="46">
        <f t="shared" ca="1" si="114"/>
        <v>0</v>
      </c>
    </row>
    <row r="146" spans="1:21" ht="18.75" x14ac:dyDescent="0.25">
      <c r="A146" s="128"/>
      <c r="B146" s="40"/>
      <c r="C146" s="40"/>
      <c r="D146" s="41" t="s">
        <v>23</v>
      </c>
      <c r="E146" s="40"/>
      <c r="F146" s="40"/>
      <c r="G146" s="42"/>
      <c r="H146" s="137" t="s">
        <v>14</v>
      </c>
      <c r="I146" s="135"/>
      <c r="J146" s="135"/>
      <c r="K146" s="136"/>
      <c r="L146" s="46">
        <f t="shared" ref="L146:N146" ca="1" si="121">L147+L148</f>
        <v>0</v>
      </c>
      <c r="M146" s="46">
        <f t="shared" ca="1" si="121"/>
        <v>0</v>
      </c>
      <c r="N146" s="46">
        <f t="shared" ca="1" si="121"/>
        <v>0</v>
      </c>
      <c r="O146" s="46">
        <f t="shared" ca="1" si="110"/>
        <v>0</v>
      </c>
      <c r="P146" s="46">
        <f t="shared" ca="1" si="111"/>
        <v>0</v>
      </c>
      <c r="Q146" s="46">
        <f t="shared" ref="Q146:S146" ca="1" si="122">Q147+Q148</f>
        <v>0</v>
      </c>
      <c r="R146" s="46">
        <f t="shared" ca="1" si="122"/>
        <v>0</v>
      </c>
      <c r="S146" s="46">
        <f t="shared" ca="1" si="122"/>
        <v>0</v>
      </c>
      <c r="T146" s="46">
        <f t="shared" ca="1" si="113"/>
        <v>0</v>
      </c>
      <c r="U146" s="46">
        <f t="shared" ca="1" si="114"/>
        <v>0</v>
      </c>
    </row>
    <row r="147" spans="1:21" ht="18.75" x14ac:dyDescent="0.25">
      <c r="A147" s="128"/>
      <c r="B147" s="40"/>
      <c r="C147" s="40"/>
      <c r="D147" s="40"/>
      <c r="E147" s="47" t="s">
        <v>20</v>
      </c>
      <c r="F147" s="40"/>
      <c r="G147" s="42"/>
      <c r="H147" s="134" t="s">
        <v>14</v>
      </c>
      <c r="I147" s="135"/>
      <c r="J147" s="135"/>
      <c r="K147" s="136"/>
      <c r="L147" s="46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7" s="46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7" s="46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7" s="46">
        <f t="shared" ca="1" si="110"/>
        <v>0</v>
      </c>
      <c r="P147" s="46">
        <f t="shared" ca="1" si="111"/>
        <v>0</v>
      </c>
      <c r="Q147" s="46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7" s="46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7" s="46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7" s="48">
        <f t="shared" ca="1" si="113"/>
        <v>0</v>
      </c>
      <c r="U147" s="48">
        <f t="shared" ca="1" si="114"/>
        <v>0</v>
      </c>
    </row>
    <row r="148" spans="1:21" ht="18.75" x14ac:dyDescent="0.25">
      <c r="A148" s="128"/>
      <c r="B148" s="40"/>
      <c r="C148" s="40"/>
      <c r="D148" s="40"/>
      <c r="E148" s="47" t="s">
        <v>21</v>
      </c>
      <c r="F148" s="40"/>
      <c r="G148" s="42"/>
      <c r="H148" s="137" t="s">
        <v>14</v>
      </c>
      <c r="I148" s="135"/>
      <c r="J148" s="135"/>
      <c r="K148" s="136"/>
      <c r="L148" s="46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8" s="46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8" s="46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8" s="46">
        <f t="shared" ca="1" si="110"/>
        <v>0</v>
      </c>
      <c r="P148" s="46">
        <f t="shared" ca="1" si="111"/>
        <v>0</v>
      </c>
      <c r="Q148" s="46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8" s="46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8" s="46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8" s="46">
        <f t="shared" ca="1" si="113"/>
        <v>0</v>
      </c>
      <c r="U148" s="46">
        <f t="shared" ca="1" si="114"/>
        <v>0</v>
      </c>
    </row>
    <row r="149" spans="1:21" ht="19.5" x14ac:dyDescent="0.3">
      <c r="A149" s="138"/>
      <c r="B149" s="139"/>
      <c r="C149" s="129" t="s">
        <v>18</v>
      </c>
      <c r="D149" s="140" t="s">
        <v>38</v>
      </c>
      <c r="E149" s="141"/>
      <c r="F149" s="141"/>
      <c r="G149" s="142"/>
      <c r="H149" s="191"/>
      <c r="I149" s="44"/>
      <c r="J149" s="44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40"/>
      <c r="C150" s="40"/>
      <c r="D150" s="47" t="s">
        <v>63</v>
      </c>
      <c r="E150" s="40"/>
      <c r="F150" s="40"/>
      <c r="G150" s="42"/>
      <c r="H150" s="191"/>
      <c r="I150" s="44"/>
      <c r="J150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40"/>
      <c r="C151" s="40"/>
      <c r="D151" s="145"/>
      <c r="E151" s="198" t="s">
        <v>64</v>
      </c>
      <c r="F151" s="40"/>
      <c r="G151" s="42"/>
      <c r="H151" s="137" t="s">
        <v>35</v>
      </c>
      <c r="I151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1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10)</f>
        <v>10</v>
      </c>
      <c r="K151" s="46">
        <f t="shared" ref="K151:K155" ca="1" si="123">IF(I151&gt;0,J151*100/I151,0)</f>
        <v>20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40"/>
      <c r="C152" s="40"/>
      <c r="D152" s="145"/>
      <c r="E152" s="40"/>
      <c r="F152" s="40"/>
      <c r="G152" s="42"/>
      <c r="H152" s="137" t="s">
        <v>54</v>
      </c>
      <c r="I152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2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1)</f>
        <v>1</v>
      </c>
      <c r="K152" s="46">
        <f t="shared" ca="1" si="123"/>
        <v>20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40"/>
      <c r="C153" s="40"/>
      <c r="D153" s="145"/>
      <c r="E153" s="198" t="s">
        <v>65</v>
      </c>
      <c r="F153" s="40"/>
      <c r="G153" s="42"/>
      <c r="H153" s="137" t="s">
        <v>35</v>
      </c>
      <c r="I153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3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20)</f>
        <v>20</v>
      </c>
      <c r="K153" s="46">
        <f t="shared" ca="1" si="123"/>
        <v>10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0"/>
      <c r="E154" s="199"/>
      <c r="F154" s="40"/>
      <c r="G154" s="42"/>
      <c r="H154" s="137" t="s">
        <v>54</v>
      </c>
      <c r="I154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4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2)</f>
        <v>2</v>
      </c>
      <c r="K154" s="46">
        <f t="shared" ca="1" si="123"/>
        <v>10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40"/>
      <c r="C155" s="40"/>
      <c r="D155" s="47" t="s">
        <v>66</v>
      </c>
      <c r="E155" s="40"/>
      <c r="F155" s="40"/>
      <c r="G155" s="42"/>
      <c r="H155" s="137" t="s">
        <v>61</v>
      </c>
      <c r="I155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5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5" s="46">
        <f t="shared" ca="1" si="123"/>
        <v>0</v>
      </c>
      <c r="L155" s="45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ca="1">I168</f>
        <v>30</v>
      </c>
      <c r="J157" s="127">
        <f>J169</f>
        <v>0</v>
      </c>
      <c r="K157" s="34">
        <f ca="1">IF(I157&gt;0,J157*100/I157,0)</f>
        <v>0</v>
      </c>
      <c r="L157" s="3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x14ac:dyDescent="0.3">
      <c r="A158" s="128"/>
      <c r="B158" s="40"/>
      <c r="C158" s="129" t="s">
        <v>18</v>
      </c>
      <c r="D158" s="130" t="s">
        <v>19</v>
      </c>
      <c r="E158" s="40"/>
      <c r="F158" s="40"/>
      <c r="G158" s="42"/>
      <c r="H158" s="131" t="s">
        <v>14</v>
      </c>
      <c r="I158" s="44"/>
      <c r="J158" s="44"/>
      <c r="K158" s="45"/>
      <c r="L158" s="132">
        <f t="shared" ref="L158:N158" ca="1" si="124">L159+L160</f>
        <v>6000</v>
      </c>
      <c r="M158" s="132">
        <f t="shared" ca="1" si="124"/>
        <v>4500</v>
      </c>
      <c r="N158" s="132">
        <f t="shared" ca="1" si="124"/>
        <v>2250</v>
      </c>
      <c r="O158" s="132">
        <f t="shared" ref="O158:O166" ca="1" si="125">IF(L158&gt;0,N158*100/L158,0)</f>
        <v>37.5</v>
      </c>
      <c r="P158" s="132">
        <f t="shared" ref="P158:P166" ca="1" si="126">IF(M158&gt;0,N158*100/M158,0)</f>
        <v>50</v>
      </c>
      <c r="Q158" s="132">
        <f t="shared" ref="Q158:S158" ca="1" si="127">Q159+Q160</f>
        <v>0</v>
      </c>
      <c r="R158" s="132">
        <f t="shared" ca="1" si="127"/>
        <v>0</v>
      </c>
      <c r="S158" s="132">
        <f t="shared" ca="1" si="127"/>
        <v>0</v>
      </c>
      <c r="T158" s="132">
        <f t="shared" ref="T158:T166" ca="1" si="128">IF(Q158&gt;0,S158*100/Q158,0)</f>
        <v>0</v>
      </c>
      <c r="U158" s="132">
        <f t="shared" ref="U158:U166" ca="1" si="129">IF(R158&gt;0,S158*100/R158,0)</f>
        <v>0</v>
      </c>
    </row>
    <row r="159" spans="1:21" ht="18.75" x14ac:dyDescent="0.25">
      <c r="A159" s="128"/>
      <c r="B159" s="40"/>
      <c r="C159" s="40"/>
      <c r="D159" s="40"/>
      <c r="E159" s="47" t="s">
        <v>20</v>
      </c>
      <c r="F159" s="40"/>
      <c r="G159" s="42"/>
      <c r="H159" s="133" t="s">
        <v>14</v>
      </c>
      <c r="I159" s="44"/>
      <c r="J159" s="44"/>
      <c r="K159" s="45"/>
      <c r="L159" s="46">
        <f t="shared" ref="L159:N159" ca="1" si="130">L162+L165</f>
        <v>0</v>
      </c>
      <c r="M159" s="46">
        <f t="shared" ca="1" si="130"/>
        <v>0</v>
      </c>
      <c r="N159" s="46">
        <f t="shared" ca="1" si="130"/>
        <v>0</v>
      </c>
      <c r="O159" s="46">
        <f t="shared" ca="1" si="125"/>
        <v>0</v>
      </c>
      <c r="P159" s="46">
        <f t="shared" ca="1" si="126"/>
        <v>0</v>
      </c>
      <c r="Q159" s="46">
        <f t="shared" ref="Q159:S159" ca="1" si="131">Q162+Q165</f>
        <v>0</v>
      </c>
      <c r="R159" s="46">
        <f t="shared" ca="1" si="131"/>
        <v>0</v>
      </c>
      <c r="S159" s="46">
        <f t="shared" ca="1" si="131"/>
        <v>0</v>
      </c>
      <c r="T159" s="48">
        <f t="shared" ca="1" si="128"/>
        <v>0</v>
      </c>
      <c r="U159" s="48">
        <f t="shared" ca="1" si="129"/>
        <v>0</v>
      </c>
    </row>
    <row r="160" spans="1:21" ht="18.75" x14ac:dyDescent="0.25">
      <c r="A160" s="128"/>
      <c r="B160" s="40"/>
      <c r="C160" s="40"/>
      <c r="D160" s="40"/>
      <c r="E160" s="47" t="s">
        <v>21</v>
      </c>
      <c r="F160" s="40"/>
      <c r="G160" s="42"/>
      <c r="H160" s="133" t="s">
        <v>14</v>
      </c>
      <c r="I160" s="44"/>
      <c r="J160" s="44"/>
      <c r="K160" s="45"/>
      <c r="L160" s="46">
        <f t="shared" ref="L160:N160" ca="1" si="132">L163+L166</f>
        <v>6000</v>
      </c>
      <c r="M160" s="46">
        <f t="shared" ca="1" si="132"/>
        <v>4500</v>
      </c>
      <c r="N160" s="46">
        <f t="shared" ca="1" si="132"/>
        <v>2250</v>
      </c>
      <c r="O160" s="46">
        <f t="shared" ca="1" si="125"/>
        <v>37.5</v>
      </c>
      <c r="P160" s="46">
        <f t="shared" ca="1" si="126"/>
        <v>50</v>
      </c>
      <c r="Q160" s="46">
        <f t="shared" ref="Q160:S160" ca="1" si="133">Q163+Q166</f>
        <v>0</v>
      </c>
      <c r="R160" s="46">
        <f t="shared" ca="1" si="133"/>
        <v>0</v>
      </c>
      <c r="S160" s="46">
        <f t="shared" ca="1" si="133"/>
        <v>0</v>
      </c>
      <c r="T160" s="46">
        <f t="shared" ca="1" si="128"/>
        <v>0</v>
      </c>
      <c r="U160" s="46">
        <f t="shared" ca="1" si="129"/>
        <v>0</v>
      </c>
    </row>
    <row r="161" spans="1:21" ht="18.75" x14ac:dyDescent="0.25">
      <c r="A161" s="128"/>
      <c r="B161" s="40"/>
      <c r="C161" s="40"/>
      <c r="D161" s="41" t="s">
        <v>22</v>
      </c>
      <c r="E161" s="40"/>
      <c r="F161" s="40"/>
      <c r="G161" s="42"/>
      <c r="H161" s="134" t="s">
        <v>14</v>
      </c>
      <c r="I161" s="135"/>
      <c r="J161" s="135"/>
      <c r="K161" s="136"/>
      <c r="L161" s="46">
        <f t="shared" ref="L161:N161" ca="1" si="134">L162+L163</f>
        <v>6000</v>
      </c>
      <c r="M161" s="46">
        <f t="shared" ca="1" si="134"/>
        <v>4500</v>
      </c>
      <c r="N161" s="46">
        <f t="shared" ca="1" si="134"/>
        <v>2250</v>
      </c>
      <c r="O161" s="46">
        <f t="shared" ca="1" si="125"/>
        <v>37.5</v>
      </c>
      <c r="P161" s="46">
        <f t="shared" ca="1" si="126"/>
        <v>50</v>
      </c>
      <c r="Q161" s="46">
        <f t="shared" ref="Q161:S161" ca="1" si="135">Q162+Q163</f>
        <v>0</v>
      </c>
      <c r="R161" s="46">
        <f t="shared" ca="1" si="135"/>
        <v>0</v>
      </c>
      <c r="S161" s="46">
        <f t="shared" ca="1" si="135"/>
        <v>0</v>
      </c>
      <c r="T161" s="46">
        <f t="shared" ca="1" si="128"/>
        <v>0</v>
      </c>
      <c r="U161" s="46">
        <f t="shared" ca="1" si="129"/>
        <v>0</v>
      </c>
    </row>
    <row r="162" spans="1:21" ht="18.75" x14ac:dyDescent="0.25">
      <c r="A162" s="128"/>
      <c r="B162" s="40"/>
      <c r="C162" s="40"/>
      <c r="D162" s="40"/>
      <c r="E162" s="47" t="s">
        <v>36</v>
      </c>
      <c r="F162" s="40"/>
      <c r="G162" s="42"/>
      <c r="H162" s="134" t="s">
        <v>14</v>
      </c>
      <c r="I162" s="135"/>
      <c r="J162" s="135"/>
      <c r="K162" s="136"/>
      <c r="L162" s="46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2" s="46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2" s="46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2" s="46">
        <f t="shared" ca="1" si="125"/>
        <v>0</v>
      </c>
      <c r="P162" s="46">
        <f t="shared" ca="1" si="126"/>
        <v>0</v>
      </c>
      <c r="Q162" s="46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2" s="46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2" s="46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2" s="48">
        <f t="shared" ca="1" si="128"/>
        <v>0</v>
      </c>
      <c r="U162" s="48">
        <f t="shared" ca="1" si="129"/>
        <v>0</v>
      </c>
    </row>
    <row r="163" spans="1:21" ht="18.75" x14ac:dyDescent="0.25">
      <c r="A163" s="128"/>
      <c r="B163" s="40"/>
      <c r="C163" s="40"/>
      <c r="D163" s="40"/>
      <c r="E163" s="47" t="s">
        <v>37</v>
      </c>
      <c r="F163" s="40"/>
      <c r="G163" s="42"/>
      <c r="H163" s="134" t="s">
        <v>14</v>
      </c>
      <c r="I163" s="135"/>
      <c r="J163" s="135"/>
      <c r="K163" s="136"/>
      <c r="L163" s="46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6000)</f>
        <v>6000</v>
      </c>
      <c r="M163" s="46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4500)</f>
        <v>4500</v>
      </c>
      <c r="N163" s="46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2250)</f>
        <v>2250</v>
      </c>
      <c r="O163" s="46">
        <f t="shared" ca="1" si="125"/>
        <v>37.5</v>
      </c>
      <c r="P163" s="46">
        <f t="shared" ca="1" si="126"/>
        <v>50</v>
      </c>
      <c r="Q163" s="46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3" s="46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3" s="46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3" s="46">
        <f t="shared" ca="1" si="128"/>
        <v>0</v>
      </c>
      <c r="U163" s="46">
        <f t="shared" ca="1" si="129"/>
        <v>0</v>
      </c>
    </row>
    <row r="164" spans="1:21" ht="18.75" x14ac:dyDescent="0.25">
      <c r="A164" s="128"/>
      <c r="B164" s="40"/>
      <c r="C164" s="40"/>
      <c r="D164" s="41" t="s">
        <v>23</v>
      </c>
      <c r="E164" s="40"/>
      <c r="F164" s="40"/>
      <c r="G164" s="42"/>
      <c r="H164" s="137" t="s">
        <v>14</v>
      </c>
      <c r="I164" s="135"/>
      <c r="J164" s="135"/>
      <c r="K164" s="136"/>
      <c r="L164" s="46">
        <f t="shared" ref="L164:N164" ca="1" si="136">L165+L166</f>
        <v>0</v>
      </c>
      <c r="M164" s="46">
        <f t="shared" ca="1" si="136"/>
        <v>0</v>
      </c>
      <c r="N164" s="46">
        <f t="shared" ca="1" si="136"/>
        <v>0</v>
      </c>
      <c r="O164" s="46">
        <f t="shared" ca="1" si="125"/>
        <v>0</v>
      </c>
      <c r="P164" s="46">
        <f t="shared" ca="1" si="126"/>
        <v>0</v>
      </c>
      <c r="Q164" s="46">
        <f t="shared" ref="Q164:S164" ca="1" si="137">Q165+Q166</f>
        <v>0</v>
      </c>
      <c r="R164" s="46">
        <f t="shared" ca="1" si="137"/>
        <v>0</v>
      </c>
      <c r="S164" s="46">
        <f t="shared" ca="1" si="137"/>
        <v>0</v>
      </c>
      <c r="T164" s="46">
        <f t="shared" ca="1" si="128"/>
        <v>0</v>
      </c>
      <c r="U164" s="46">
        <f t="shared" ca="1" si="129"/>
        <v>0</v>
      </c>
    </row>
    <row r="165" spans="1:21" ht="18.75" x14ac:dyDescent="0.25">
      <c r="A165" s="128"/>
      <c r="B165" s="40"/>
      <c r="C165" s="40"/>
      <c r="D165" s="40"/>
      <c r="E165" s="47" t="s">
        <v>20</v>
      </c>
      <c r="F165" s="40"/>
      <c r="G165" s="42"/>
      <c r="H165" s="134" t="s">
        <v>14</v>
      </c>
      <c r="I165" s="135"/>
      <c r="J165" s="135"/>
      <c r="K165" s="136"/>
      <c r="L165" s="46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5" s="46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5" s="46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5" s="46">
        <f t="shared" ca="1" si="125"/>
        <v>0</v>
      </c>
      <c r="P165" s="46">
        <f t="shared" ca="1" si="126"/>
        <v>0</v>
      </c>
      <c r="Q165" s="46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5" s="46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5" s="46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5" s="48">
        <f t="shared" ca="1" si="128"/>
        <v>0</v>
      </c>
      <c r="U165" s="48">
        <f t="shared" ca="1" si="129"/>
        <v>0</v>
      </c>
    </row>
    <row r="166" spans="1:21" ht="18.75" x14ac:dyDescent="0.25">
      <c r="A166" s="128"/>
      <c r="B166" s="40"/>
      <c r="C166" s="40"/>
      <c r="D166" s="40"/>
      <c r="E166" s="47" t="s">
        <v>21</v>
      </c>
      <c r="F166" s="40"/>
      <c r="G166" s="42"/>
      <c r="H166" s="137" t="s">
        <v>14</v>
      </c>
      <c r="I166" s="135"/>
      <c r="J166" s="135"/>
      <c r="K166" s="136"/>
      <c r="L166" s="46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6" s="46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6" s="46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6" s="46">
        <f t="shared" ca="1" si="125"/>
        <v>0</v>
      </c>
      <c r="P166" s="46">
        <f t="shared" ca="1" si="126"/>
        <v>0</v>
      </c>
      <c r="Q166" s="46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6" s="46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6" s="46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6" s="46">
        <f t="shared" ca="1" si="128"/>
        <v>0</v>
      </c>
      <c r="U166" s="46">
        <f t="shared" ca="1" si="129"/>
        <v>0</v>
      </c>
    </row>
    <row r="167" spans="1:21" ht="19.5" x14ac:dyDescent="0.3">
      <c r="A167" s="138"/>
      <c r="B167" s="139"/>
      <c r="C167" s="129" t="s">
        <v>18</v>
      </c>
      <c r="D167" s="140" t="s">
        <v>38</v>
      </c>
      <c r="E167" s="141"/>
      <c r="F167" s="141"/>
      <c r="G167" s="142"/>
      <c r="H167" s="191"/>
      <c r="I167" s="44"/>
      <c r="J167" s="44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200" t="s">
        <v>69</v>
      </c>
      <c r="E168" s="40"/>
      <c r="F168" s="40"/>
      <c r="G168" s="42"/>
      <c r="H168" s="137" t="s">
        <v>35</v>
      </c>
      <c r="I168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8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0)</f>
        <v>0</v>
      </c>
      <c r="K168" s="46">
        <f t="shared" ref="K168:K170" ca="1" si="138">IF(I168&gt;0,J168*100/I168,0)</f>
        <v>0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28"/>
      <c r="B169" s="40"/>
      <c r="C169" s="40"/>
      <c r="D169" s="200" t="s">
        <v>70</v>
      </c>
      <c r="E169" s="40"/>
      <c r="F169" s="40"/>
      <c r="G169" s="42"/>
      <c r="H169" s="137" t="s">
        <v>35</v>
      </c>
      <c r="I169" s="152">
        <f t="shared" ref="I169:I170" ca="1" si="139">I168</f>
        <v>30</v>
      </c>
      <c r="J169" s="152">
        <v>0</v>
      </c>
      <c r="K169" s="46">
        <f t="shared" ca="1" si="138"/>
        <v>0</v>
      </c>
      <c r="L169" s="45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x14ac:dyDescent="0.25">
      <c r="A170" s="201"/>
      <c r="B170" s="2"/>
      <c r="C170" s="2"/>
      <c r="D170" s="202" t="s">
        <v>71</v>
      </c>
      <c r="E170" s="2"/>
      <c r="F170" s="2"/>
      <c r="G170" s="52"/>
      <c r="H170" s="203" t="s">
        <v>35</v>
      </c>
      <c r="I170" s="204">
        <f t="shared" ca="1" si="139"/>
        <v>30</v>
      </c>
      <c r="J170" s="204">
        <v>0</v>
      </c>
      <c r="K170" s="110">
        <f t="shared" ca="1" si="138"/>
        <v>0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218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40">I184+I185</f>
        <v>147</v>
      </c>
      <c r="J173" s="221">
        <f t="shared" ca="1" si="140"/>
        <v>70</v>
      </c>
      <c r="K173" s="222">
        <f ca="1">IF(I173&gt;0,J173*100/I173,0)</f>
        <v>47.61904761904762</v>
      </c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40"/>
      <c r="C174" s="129" t="s">
        <v>18</v>
      </c>
      <c r="D174" s="130" t="s">
        <v>19</v>
      </c>
      <c r="E174" s="40"/>
      <c r="F174" s="40"/>
      <c r="G174" s="42"/>
      <c r="H174" s="131" t="s">
        <v>14</v>
      </c>
      <c r="I174" s="44"/>
      <c r="J174" s="44"/>
      <c r="K174" s="45"/>
      <c r="L174" s="132">
        <f t="shared" ref="L174:N174" ca="1" si="141">L175+L176</f>
        <v>215490</v>
      </c>
      <c r="M174" s="132">
        <f t="shared" ca="1" si="141"/>
        <v>438690</v>
      </c>
      <c r="N174" s="132">
        <f t="shared" ca="1" si="141"/>
        <v>408228</v>
      </c>
      <c r="O174" s="132">
        <f t="shared" ref="O174:O182" ca="1" si="142">IF(L174&gt;0,N174*100/L174,0)</f>
        <v>189.44173743561186</v>
      </c>
      <c r="P174" s="132">
        <f t="shared" ref="P174:P182" ca="1" si="143">IF(M174&gt;0,N174*100/M174,0)</f>
        <v>93.056144430007521</v>
      </c>
      <c r="Q174" s="132">
        <f t="shared" ref="Q174:S174" ca="1" si="144">Q175+Q176</f>
        <v>0</v>
      </c>
      <c r="R174" s="132">
        <f t="shared" ca="1" si="144"/>
        <v>0</v>
      </c>
      <c r="S174" s="132">
        <f t="shared" ca="1" si="144"/>
        <v>0</v>
      </c>
      <c r="T174" s="132">
        <f t="shared" ref="T174:T182" ca="1" si="145">IF(Q174&gt;0,S174*100/Q174,0)</f>
        <v>0</v>
      </c>
      <c r="U174" s="132">
        <f t="shared" ref="U174:U182" ca="1" si="146">IF(R174&gt;0,S174*100/R174,0)</f>
        <v>0</v>
      </c>
    </row>
    <row r="175" spans="1:21" ht="18.75" x14ac:dyDescent="0.25">
      <c r="A175" s="128"/>
      <c r="B175" s="40"/>
      <c r="C175" s="40"/>
      <c r="D175" s="40"/>
      <c r="E175" s="47" t="s">
        <v>20</v>
      </c>
      <c r="F175" s="40"/>
      <c r="G175" s="42"/>
      <c r="H175" s="133" t="s">
        <v>14</v>
      </c>
      <c r="I175" s="44"/>
      <c r="J175" s="44"/>
      <c r="K175" s="45"/>
      <c r="L175" s="46">
        <f t="shared" ref="L175:N175" ca="1" si="147">L178+L181</f>
        <v>0</v>
      </c>
      <c r="M175" s="46">
        <f t="shared" ca="1" si="147"/>
        <v>0</v>
      </c>
      <c r="N175" s="46">
        <f t="shared" ca="1" si="147"/>
        <v>0</v>
      </c>
      <c r="O175" s="46">
        <f t="shared" ca="1" si="142"/>
        <v>0</v>
      </c>
      <c r="P175" s="46">
        <f t="shared" ca="1" si="143"/>
        <v>0</v>
      </c>
      <c r="Q175" s="46">
        <f t="shared" ref="Q175:S175" ca="1" si="148">Q178+Q181</f>
        <v>0</v>
      </c>
      <c r="R175" s="46">
        <f t="shared" ca="1" si="148"/>
        <v>0</v>
      </c>
      <c r="S175" s="46">
        <f t="shared" ca="1" si="148"/>
        <v>0</v>
      </c>
      <c r="T175" s="48">
        <f t="shared" ca="1" si="145"/>
        <v>0</v>
      </c>
      <c r="U175" s="48">
        <f t="shared" ca="1" si="146"/>
        <v>0</v>
      </c>
    </row>
    <row r="176" spans="1:21" ht="18.75" x14ac:dyDescent="0.25">
      <c r="A176" s="128"/>
      <c r="B176" s="40"/>
      <c r="C176" s="40"/>
      <c r="D176" s="40"/>
      <c r="E176" s="47" t="s">
        <v>21</v>
      </c>
      <c r="F176" s="40"/>
      <c r="G176" s="42"/>
      <c r="H176" s="133" t="s">
        <v>14</v>
      </c>
      <c r="I176" s="44"/>
      <c r="J176" s="44"/>
      <c r="K176" s="45"/>
      <c r="L176" s="46">
        <f t="shared" ref="L176:N176" ca="1" si="149">L179+L182</f>
        <v>215490</v>
      </c>
      <c r="M176" s="46">
        <f t="shared" ca="1" si="149"/>
        <v>438690</v>
      </c>
      <c r="N176" s="46">
        <f t="shared" ca="1" si="149"/>
        <v>408228</v>
      </c>
      <c r="O176" s="46">
        <f t="shared" ca="1" si="142"/>
        <v>189.44173743561186</v>
      </c>
      <c r="P176" s="46">
        <f t="shared" ca="1" si="143"/>
        <v>93.056144430007521</v>
      </c>
      <c r="Q176" s="46">
        <f t="shared" ref="Q176:S176" ca="1" si="150">Q179+Q182</f>
        <v>0</v>
      </c>
      <c r="R176" s="46">
        <f t="shared" ca="1" si="150"/>
        <v>0</v>
      </c>
      <c r="S176" s="46">
        <f t="shared" ca="1" si="150"/>
        <v>0</v>
      </c>
      <c r="T176" s="46">
        <f t="shared" ca="1" si="145"/>
        <v>0</v>
      </c>
      <c r="U176" s="46">
        <f t="shared" ca="1" si="146"/>
        <v>0</v>
      </c>
    </row>
    <row r="177" spans="1:21" ht="18.75" x14ac:dyDescent="0.25">
      <c r="A177" s="128"/>
      <c r="B177" s="40"/>
      <c r="C177" s="40"/>
      <c r="D177" s="41" t="s">
        <v>22</v>
      </c>
      <c r="E177" s="40"/>
      <c r="F177" s="40"/>
      <c r="G177" s="42"/>
      <c r="H177" s="134" t="s">
        <v>14</v>
      </c>
      <c r="I177" s="135"/>
      <c r="J177" s="135"/>
      <c r="K177" s="136"/>
      <c r="L177" s="46">
        <f t="shared" ref="L177:N177" ca="1" si="151">L178+L179</f>
        <v>215490</v>
      </c>
      <c r="M177" s="46">
        <f t="shared" ca="1" si="151"/>
        <v>438690</v>
      </c>
      <c r="N177" s="46">
        <f t="shared" ca="1" si="151"/>
        <v>408228</v>
      </c>
      <c r="O177" s="46">
        <f t="shared" ca="1" si="142"/>
        <v>189.44173743561186</v>
      </c>
      <c r="P177" s="46">
        <f t="shared" ca="1" si="143"/>
        <v>93.056144430007521</v>
      </c>
      <c r="Q177" s="46">
        <f t="shared" ref="Q177:S177" ca="1" si="152">Q178+Q179</f>
        <v>0</v>
      </c>
      <c r="R177" s="46">
        <f t="shared" ca="1" si="152"/>
        <v>0</v>
      </c>
      <c r="S177" s="46">
        <f t="shared" ca="1" si="152"/>
        <v>0</v>
      </c>
      <c r="T177" s="46">
        <f t="shared" ca="1" si="145"/>
        <v>0</v>
      </c>
      <c r="U177" s="46">
        <f t="shared" ca="1" si="146"/>
        <v>0</v>
      </c>
    </row>
    <row r="178" spans="1:21" ht="18.75" x14ac:dyDescent="0.25">
      <c r="A178" s="128"/>
      <c r="B178" s="40"/>
      <c r="C178" s="40"/>
      <c r="D178" s="40"/>
      <c r="E178" s="47" t="s">
        <v>36</v>
      </c>
      <c r="F178" s="40"/>
      <c r="G178" s="42"/>
      <c r="H178" s="134" t="s">
        <v>14</v>
      </c>
      <c r="I178" s="135"/>
      <c r="J178" s="135"/>
      <c r="K178" s="136"/>
      <c r="L178" s="46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8" s="46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8" s="46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8" s="46">
        <f t="shared" ca="1" si="142"/>
        <v>0</v>
      </c>
      <c r="P178" s="46">
        <f t="shared" ca="1" si="143"/>
        <v>0</v>
      </c>
      <c r="Q178" s="46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8" s="46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8" s="46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8" s="48">
        <f t="shared" ca="1" si="145"/>
        <v>0</v>
      </c>
      <c r="U178" s="48">
        <f t="shared" ca="1" si="146"/>
        <v>0</v>
      </c>
    </row>
    <row r="179" spans="1:21" ht="18.75" x14ac:dyDescent="0.25">
      <c r="A179" s="128"/>
      <c r="B179" s="40"/>
      <c r="C179" s="40"/>
      <c r="D179" s="40"/>
      <c r="E179" s="47" t="s">
        <v>37</v>
      </c>
      <c r="F179" s="40"/>
      <c r="G179" s="42"/>
      <c r="H179" s="134" t="s">
        <v>14</v>
      </c>
      <c r="I179" s="135"/>
      <c r="J179" s="135"/>
      <c r="K179" s="136"/>
      <c r="L179" s="46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9" s="46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9" s="46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408228)</f>
        <v>408228</v>
      </c>
      <c r="O179" s="46">
        <f t="shared" ca="1" si="142"/>
        <v>189.44173743561186</v>
      </c>
      <c r="P179" s="46">
        <f t="shared" ca="1" si="143"/>
        <v>93.056144430007521</v>
      </c>
      <c r="Q179" s="46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0)</f>
        <v>0</v>
      </c>
      <c r="R179" s="46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0)</f>
        <v>0</v>
      </c>
      <c r="S179" s="46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0)</f>
        <v>0</v>
      </c>
      <c r="T179" s="46">
        <f t="shared" ca="1" si="145"/>
        <v>0</v>
      </c>
      <c r="U179" s="46">
        <f t="shared" ca="1" si="146"/>
        <v>0</v>
      </c>
    </row>
    <row r="180" spans="1:21" ht="18.75" x14ac:dyDescent="0.25">
      <c r="A180" s="128"/>
      <c r="B180" s="40"/>
      <c r="C180" s="40"/>
      <c r="D180" s="41" t="s">
        <v>23</v>
      </c>
      <c r="E180" s="40"/>
      <c r="F180" s="40"/>
      <c r="G180" s="42"/>
      <c r="H180" s="137" t="s">
        <v>14</v>
      </c>
      <c r="I180" s="135"/>
      <c r="J180" s="135"/>
      <c r="K180" s="136"/>
      <c r="L180" s="46">
        <f t="shared" ref="L180:N180" ca="1" si="153">L181+L182</f>
        <v>0</v>
      </c>
      <c r="M180" s="46">
        <f t="shared" ca="1" si="153"/>
        <v>0</v>
      </c>
      <c r="N180" s="46">
        <f t="shared" ca="1" si="153"/>
        <v>0</v>
      </c>
      <c r="O180" s="46">
        <f t="shared" ca="1" si="142"/>
        <v>0</v>
      </c>
      <c r="P180" s="46">
        <f t="shared" ca="1" si="143"/>
        <v>0</v>
      </c>
      <c r="Q180" s="46">
        <f t="shared" ref="Q180:S180" ca="1" si="154">Q181+Q182</f>
        <v>0</v>
      </c>
      <c r="R180" s="46">
        <f t="shared" ca="1" si="154"/>
        <v>0</v>
      </c>
      <c r="S180" s="46">
        <f t="shared" ca="1" si="154"/>
        <v>0</v>
      </c>
      <c r="T180" s="46">
        <f t="shared" ca="1" si="145"/>
        <v>0</v>
      </c>
      <c r="U180" s="46">
        <f t="shared" ca="1" si="146"/>
        <v>0</v>
      </c>
    </row>
    <row r="181" spans="1:21" ht="18.75" x14ac:dyDescent="0.25">
      <c r="A181" s="128"/>
      <c r="B181" s="40"/>
      <c r="C181" s="40"/>
      <c r="D181" s="40"/>
      <c r="E181" s="47" t="s">
        <v>20</v>
      </c>
      <c r="F181" s="40"/>
      <c r="G181" s="42"/>
      <c r="H181" s="134" t="s">
        <v>14</v>
      </c>
      <c r="I181" s="135"/>
      <c r="J181" s="135"/>
      <c r="K181" s="136"/>
      <c r="L181" s="46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1" s="46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1" s="46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1" s="46">
        <f t="shared" ca="1" si="142"/>
        <v>0</v>
      </c>
      <c r="P181" s="46">
        <f t="shared" ca="1" si="143"/>
        <v>0</v>
      </c>
      <c r="Q181" s="46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1" s="46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1" s="46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1" s="48">
        <f t="shared" ca="1" si="145"/>
        <v>0</v>
      </c>
      <c r="U181" s="48">
        <f t="shared" ca="1" si="146"/>
        <v>0</v>
      </c>
    </row>
    <row r="182" spans="1:21" ht="18.75" x14ac:dyDescent="0.25">
      <c r="A182" s="128"/>
      <c r="B182" s="40"/>
      <c r="C182" s="40"/>
      <c r="D182" s="40"/>
      <c r="E182" s="47" t="s">
        <v>21</v>
      </c>
      <c r="F182" s="40"/>
      <c r="G182" s="42"/>
      <c r="H182" s="137" t="s">
        <v>14</v>
      </c>
      <c r="I182" s="135"/>
      <c r="J182" s="135"/>
      <c r="K182" s="136"/>
      <c r="L182" s="46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2" s="46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2" s="46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2" s="46">
        <f t="shared" ca="1" si="142"/>
        <v>0</v>
      </c>
      <c r="P182" s="46">
        <f t="shared" ca="1" si="143"/>
        <v>0</v>
      </c>
      <c r="Q182" s="46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2" s="46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2" s="46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2" s="46">
        <f t="shared" ca="1" si="145"/>
        <v>0</v>
      </c>
      <c r="U182" s="46">
        <f t="shared" ca="1" si="146"/>
        <v>0</v>
      </c>
    </row>
    <row r="183" spans="1:21" ht="19.5" x14ac:dyDescent="0.3">
      <c r="A183" s="138"/>
      <c r="B183" s="139"/>
      <c r="C183" s="129" t="s">
        <v>18</v>
      </c>
      <c r="D183" s="140" t="s">
        <v>38</v>
      </c>
      <c r="E183" s="141"/>
      <c r="F183" s="141"/>
      <c r="G183" s="142"/>
      <c r="H183" s="191"/>
      <c r="I183" s="44"/>
      <c r="J183" s="44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40"/>
      <c r="C184" s="159"/>
      <c r="D184" s="225" t="s">
        <v>75</v>
      </c>
      <c r="E184" s="40"/>
      <c r="F184" s="40"/>
      <c r="G184" s="42"/>
      <c r="H184" s="226" t="s">
        <v>35</v>
      </c>
      <c r="I184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77)</f>
        <v>77</v>
      </c>
      <c r="J184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70)</f>
        <v>70</v>
      </c>
      <c r="K184" s="46">
        <f t="shared" ref="K184:K186" ca="1" si="155">IF(I184&gt;0,J184*100/I184,0)</f>
        <v>90.909090909090907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x14ac:dyDescent="0.25">
      <c r="A185" s="224"/>
      <c r="B185" s="159"/>
      <c r="C185" s="159"/>
      <c r="D185" s="225" t="s">
        <v>76</v>
      </c>
      <c r="E185" s="40"/>
      <c r="F185" s="40"/>
      <c r="G185" s="42"/>
      <c r="H185" s="226" t="s">
        <v>35</v>
      </c>
      <c r="I185" s="152">
        <v>70</v>
      </c>
      <c r="J185" s="152">
        <v>0</v>
      </c>
      <c r="K185" s="46">
        <f t="shared" si="155"/>
        <v>0</v>
      </c>
      <c r="L185" s="45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218" t="s">
        <v>77</v>
      </c>
      <c r="C186" s="219"/>
      <c r="D186" s="141"/>
      <c r="E186" s="141"/>
      <c r="F186" s="141"/>
      <c r="G186" s="142"/>
      <c r="H186" s="220" t="s">
        <v>35</v>
      </c>
      <c r="I186" s="227">
        <f t="shared" ref="I186:J186" ca="1" si="156">I231+I232</f>
        <v>0</v>
      </c>
      <c r="J186" s="227">
        <f t="shared" ca="1" si="156"/>
        <v>0</v>
      </c>
      <c r="K186" s="228">
        <f t="shared" ca="1" si="155"/>
        <v>0</v>
      </c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40"/>
      <c r="C187" s="129" t="s">
        <v>18</v>
      </c>
      <c r="D187" s="130" t="s">
        <v>19</v>
      </c>
      <c r="E187" s="40"/>
      <c r="F187" s="40"/>
      <c r="G187" s="42"/>
      <c r="H187" s="131" t="s">
        <v>14</v>
      </c>
      <c r="I187" s="44"/>
      <c r="J187" s="44"/>
      <c r="K187" s="45"/>
      <c r="L187" s="132">
        <f t="shared" ref="L187:N187" ca="1" si="157">L188+L189</f>
        <v>2056000</v>
      </c>
      <c r="M187" s="132">
        <f t="shared" ca="1" si="157"/>
        <v>1910600</v>
      </c>
      <c r="N187" s="132">
        <f t="shared" ca="1" si="157"/>
        <v>1150344.55</v>
      </c>
      <c r="O187" s="132">
        <f t="shared" ref="O187:O195" ca="1" si="158">IF(L187&gt;0,N187*100/L187,0)</f>
        <v>55.950610408560308</v>
      </c>
      <c r="P187" s="132">
        <f t="shared" ref="P187:P195" ca="1" si="159">IF(M187&gt;0,N187*100/M187,0)</f>
        <v>60.208549670260652</v>
      </c>
      <c r="Q187" s="132">
        <f t="shared" ref="Q187:S187" ca="1" si="160">Q188+Q189</f>
        <v>903000</v>
      </c>
      <c r="R187" s="132">
        <f t="shared" ca="1" si="160"/>
        <v>923000</v>
      </c>
      <c r="S187" s="132">
        <f t="shared" ca="1" si="160"/>
        <v>42000</v>
      </c>
      <c r="T187" s="132">
        <f t="shared" ref="T187:T195" ca="1" si="161">IF(Q187&gt;0,S187*100/Q187,0)</f>
        <v>4.6511627906976747</v>
      </c>
      <c r="U187" s="132">
        <f t="shared" ref="U187:U195" ca="1" si="162">IF(R187&gt;0,S187*100/R187,0)</f>
        <v>4.5503791982665218</v>
      </c>
    </row>
    <row r="188" spans="1:21" ht="18.75" x14ac:dyDescent="0.25">
      <c r="A188" s="128"/>
      <c r="B188" s="40"/>
      <c r="C188" s="40"/>
      <c r="D188" s="40"/>
      <c r="E188" s="47" t="s">
        <v>20</v>
      </c>
      <c r="F188" s="40"/>
      <c r="G188" s="42"/>
      <c r="H188" s="133" t="s">
        <v>14</v>
      </c>
      <c r="I188" s="44"/>
      <c r="J188" s="44"/>
      <c r="K188" s="45"/>
      <c r="L188" s="46">
        <f t="shared" ref="L188:N188" ca="1" si="163">L191+L194</f>
        <v>0</v>
      </c>
      <c r="M188" s="46">
        <f t="shared" ca="1" si="163"/>
        <v>0</v>
      </c>
      <c r="N188" s="46">
        <f t="shared" ca="1" si="163"/>
        <v>0</v>
      </c>
      <c r="O188" s="46">
        <f t="shared" ca="1" si="158"/>
        <v>0</v>
      </c>
      <c r="P188" s="46">
        <f t="shared" ca="1" si="159"/>
        <v>0</v>
      </c>
      <c r="Q188" s="46">
        <f t="shared" ref="Q188:S188" ca="1" si="164">Q191+Q194</f>
        <v>0</v>
      </c>
      <c r="R188" s="46">
        <f t="shared" ca="1" si="164"/>
        <v>0</v>
      </c>
      <c r="S188" s="46">
        <f t="shared" ca="1" si="164"/>
        <v>0</v>
      </c>
      <c r="T188" s="48">
        <f t="shared" ca="1" si="161"/>
        <v>0</v>
      </c>
      <c r="U188" s="48">
        <f t="shared" ca="1" si="162"/>
        <v>0</v>
      </c>
    </row>
    <row r="189" spans="1:21" ht="18.75" x14ac:dyDescent="0.25">
      <c r="A189" s="128"/>
      <c r="B189" s="40"/>
      <c r="C189" s="40"/>
      <c r="D189" s="40"/>
      <c r="E189" s="47" t="s">
        <v>21</v>
      </c>
      <c r="F189" s="40"/>
      <c r="G189" s="42"/>
      <c r="H189" s="133" t="s">
        <v>14</v>
      </c>
      <c r="I189" s="44"/>
      <c r="J189" s="44"/>
      <c r="K189" s="45"/>
      <c r="L189" s="46">
        <f t="shared" ref="L189:N189" ca="1" si="165">L192+L195</f>
        <v>2056000</v>
      </c>
      <c r="M189" s="46">
        <f t="shared" ca="1" si="165"/>
        <v>1910600</v>
      </c>
      <c r="N189" s="46">
        <f t="shared" ca="1" si="165"/>
        <v>1150344.55</v>
      </c>
      <c r="O189" s="46">
        <f t="shared" ca="1" si="158"/>
        <v>55.950610408560308</v>
      </c>
      <c r="P189" s="46">
        <f t="shared" ca="1" si="159"/>
        <v>60.208549670260652</v>
      </c>
      <c r="Q189" s="46">
        <f t="shared" ref="Q189:S189" ca="1" si="166">Q192+Q195</f>
        <v>903000</v>
      </c>
      <c r="R189" s="46">
        <f t="shared" ca="1" si="166"/>
        <v>923000</v>
      </c>
      <c r="S189" s="46">
        <f t="shared" ca="1" si="166"/>
        <v>42000</v>
      </c>
      <c r="T189" s="46">
        <f t="shared" ca="1" si="161"/>
        <v>4.6511627906976747</v>
      </c>
      <c r="U189" s="46">
        <f t="shared" ca="1" si="162"/>
        <v>4.5503791982665218</v>
      </c>
    </row>
    <row r="190" spans="1:21" ht="18.75" x14ac:dyDescent="0.25">
      <c r="A190" s="128"/>
      <c r="B190" s="40"/>
      <c r="C190" s="40"/>
      <c r="D190" s="41" t="s">
        <v>22</v>
      </c>
      <c r="E190" s="40"/>
      <c r="F190" s="40"/>
      <c r="G190" s="42"/>
      <c r="H190" s="134" t="s">
        <v>14</v>
      </c>
      <c r="I190" s="135"/>
      <c r="J190" s="135"/>
      <c r="K190" s="136"/>
      <c r="L190" s="46">
        <f t="shared" ref="L190:N190" ca="1" si="167">L191+L192</f>
        <v>2056000</v>
      </c>
      <c r="M190" s="46">
        <f t="shared" ca="1" si="167"/>
        <v>1910600</v>
      </c>
      <c r="N190" s="46">
        <f t="shared" ca="1" si="167"/>
        <v>1150344.55</v>
      </c>
      <c r="O190" s="46">
        <f t="shared" ca="1" si="158"/>
        <v>55.950610408560308</v>
      </c>
      <c r="P190" s="46">
        <f t="shared" ca="1" si="159"/>
        <v>60.208549670260652</v>
      </c>
      <c r="Q190" s="46">
        <f t="shared" ref="Q190:S190" ca="1" si="168">Q191+Q192</f>
        <v>903000</v>
      </c>
      <c r="R190" s="46">
        <f t="shared" ca="1" si="168"/>
        <v>923000</v>
      </c>
      <c r="S190" s="46">
        <f t="shared" ca="1" si="168"/>
        <v>42000</v>
      </c>
      <c r="T190" s="46">
        <f t="shared" ca="1" si="161"/>
        <v>4.6511627906976747</v>
      </c>
      <c r="U190" s="46">
        <f t="shared" ca="1" si="162"/>
        <v>4.5503791982665218</v>
      </c>
    </row>
    <row r="191" spans="1:21" ht="18.75" x14ac:dyDescent="0.25">
      <c r="A191" s="128"/>
      <c r="B191" s="40"/>
      <c r="C191" s="40"/>
      <c r="D191" s="40"/>
      <c r="E191" s="47" t="s">
        <v>36</v>
      </c>
      <c r="F191" s="40"/>
      <c r="G191" s="42"/>
      <c r="H191" s="134" t="s">
        <v>14</v>
      </c>
      <c r="I191" s="135"/>
      <c r="J191" s="135"/>
      <c r="K191" s="136"/>
      <c r="L191" s="46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1" s="46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1" s="46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1" s="46">
        <f t="shared" ca="1" si="158"/>
        <v>0</v>
      </c>
      <c r="P191" s="46">
        <f t="shared" ca="1" si="159"/>
        <v>0</v>
      </c>
      <c r="Q191" s="46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1" s="46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1" s="46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1" s="48">
        <f t="shared" ca="1" si="161"/>
        <v>0</v>
      </c>
      <c r="U191" s="48">
        <f t="shared" ca="1" si="162"/>
        <v>0</v>
      </c>
    </row>
    <row r="192" spans="1:21" ht="18.75" x14ac:dyDescent="0.25">
      <c r="A192" s="128"/>
      <c r="B192" s="40"/>
      <c r="C192" s="40"/>
      <c r="D192" s="40"/>
      <c r="E192" s="47" t="s">
        <v>37</v>
      </c>
      <c r="F192" s="40"/>
      <c r="G192" s="42"/>
      <c r="H192" s="134" t="s">
        <v>14</v>
      </c>
      <c r="I192" s="135"/>
      <c r="J192" s="135"/>
      <c r="K192" s="136"/>
      <c r="L192" s="46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2056000)</f>
        <v>2056000</v>
      </c>
      <c r="M192" s="46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1910600)</f>
        <v>1910600</v>
      </c>
      <c r="N192" s="46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1150344.55)</f>
        <v>1150344.55</v>
      </c>
      <c r="O192" s="46">
        <f t="shared" ca="1" si="158"/>
        <v>55.950610408560308</v>
      </c>
      <c r="P192" s="46">
        <f t="shared" ca="1" si="159"/>
        <v>60.208549670260652</v>
      </c>
      <c r="Q192" s="46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2" s="46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923000)</f>
        <v>923000</v>
      </c>
      <c r="S192" s="46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42000)</f>
        <v>42000</v>
      </c>
      <c r="T192" s="46">
        <f t="shared" ca="1" si="161"/>
        <v>4.6511627906976747</v>
      </c>
      <c r="U192" s="46">
        <f t="shared" ca="1" si="162"/>
        <v>4.5503791982665218</v>
      </c>
    </row>
    <row r="193" spans="1:21" ht="18.75" x14ac:dyDescent="0.25">
      <c r="A193" s="128"/>
      <c r="B193" s="40"/>
      <c r="C193" s="40"/>
      <c r="D193" s="41" t="s">
        <v>23</v>
      </c>
      <c r="E193" s="40"/>
      <c r="F193" s="40"/>
      <c r="G193" s="42"/>
      <c r="H193" s="137" t="s">
        <v>14</v>
      </c>
      <c r="I193" s="135"/>
      <c r="J193" s="135"/>
      <c r="K193" s="136"/>
      <c r="L193" s="46">
        <f t="shared" ref="L193:N193" ca="1" si="169">L194+L195</f>
        <v>0</v>
      </c>
      <c r="M193" s="46">
        <f t="shared" ca="1" si="169"/>
        <v>0</v>
      </c>
      <c r="N193" s="46">
        <f t="shared" ca="1" si="169"/>
        <v>0</v>
      </c>
      <c r="O193" s="46">
        <f t="shared" ca="1" si="158"/>
        <v>0</v>
      </c>
      <c r="P193" s="46">
        <f t="shared" ca="1" si="159"/>
        <v>0</v>
      </c>
      <c r="Q193" s="46">
        <f t="shared" ref="Q193:S193" ca="1" si="170">Q194+Q195</f>
        <v>0</v>
      </c>
      <c r="R193" s="46">
        <f t="shared" ca="1" si="170"/>
        <v>0</v>
      </c>
      <c r="S193" s="46">
        <f t="shared" ca="1" si="170"/>
        <v>0</v>
      </c>
      <c r="T193" s="46">
        <f t="shared" ca="1" si="161"/>
        <v>0</v>
      </c>
      <c r="U193" s="46">
        <f t="shared" ca="1" si="162"/>
        <v>0</v>
      </c>
    </row>
    <row r="194" spans="1:21" ht="18.75" x14ac:dyDescent="0.25">
      <c r="A194" s="128"/>
      <c r="B194" s="40"/>
      <c r="C194" s="40"/>
      <c r="D194" s="40"/>
      <c r="E194" s="47" t="s">
        <v>20</v>
      </c>
      <c r="F194" s="40"/>
      <c r="G194" s="42"/>
      <c r="H194" s="134" t="s">
        <v>14</v>
      </c>
      <c r="I194" s="135"/>
      <c r="J194" s="135"/>
      <c r="K194" s="136"/>
      <c r="L194" s="46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4" s="46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4" s="46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4" s="46">
        <f t="shared" ca="1" si="158"/>
        <v>0</v>
      </c>
      <c r="P194" s="46">
        <f t="shared" ca="1" si="159"/>
        <v>0</v>
      </c>
      <c r="Q194" s="46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4" s="46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4" s="46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4" s="48">
        <f t="shared" ca="1" si="161"/>
        <v>0</v>
      </c>
      <c r="U194" s="48">
        <f t="shared" ca="1" si="162"/>
        <v>0</v>
      </c>
    </row>
    <row r="195" spans="1:21" ht="18.75" x14ac:dyDescent="0.25">
      <c r="A195" s="128"/>
      <c r="B195" s="40"/>
      <c r="C195" s="40"/>
      <c r="D195" s="40"/>
      <c r="E195" s="47" t="s">
        <v>21</v>
      </c>
      <c r="F195" s="40"/>
      <c r="G195" s="42"/>
      <c r="H195" s="137" t="s">
        <v>14</v>
      </c>
      <c r="I195" s="135"/>
      <c r="J195" s="135"/>
      <c r="K195" s="136"/>
      <c r="L195" s="46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5" s="46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5" s="46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5" s="46">
        <f t="shared" ca="1" si="158"/>
        <v>0</v>
      </c>
      <c r="P195" s="46">
        <f t="shared" ca="1" si="159"/>
        <v>0</v>
      </c>
      <c r="Q195" s="46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5" s="46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5" s="46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5" s="46">
        <f t="shared" ca="1" si="161"/>
        <v>0</v>
      </c>
      <c r="U195" s="46">
        <f t="shared" ca="1" si="162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71">I199</f>
        <v>56</v>
      </c>
      <c r="J196" s="235">
        <f t="shared" ca="1" si="171"/>
        <v>20</v>
      </c>
      <c r="K196" s="236">
        <f ca="1">IF(I196&gt;0,J196*100/I196,0)</f>
        <v>35.714285714285715</v>
      </c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40"/>
      <c r="C197" s="129" t="s">
        <v>18</v>
      </c>
      <c r="D197" s="238" t="s">
        <v>19</v>
      </c>
      <c r="E197" s="40"/>
      <c r="F197" s="40"/>
      <c r="G197" s="42"/>
      <c r="H197" s="239" t="s">
        <v>14</v>
      </c>
      <c r="I197" s="44"/>
      <c r="J197" s="44"/>
      <c r="K197" s="45"/>
      <c r="L197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7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7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10380)</f>
        <v>10380</v>
      </c>
      <c r="O197" s="132">
        <f ca="1">IF(L197&gt;0,N197*100/L197,0)</f>
        <v>12.357142857142858</v>
      </c>
      <c r="P197" s="45"/>
      <c r="Q197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7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7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7" s="45"/>
      <c r="U197" s="45"/>
    </row>
    <row r="198" spans="1:21" ht="19.5" x14ac:dyDescent="0.3">
      <c r="A198" s="138"/>
      <c r="B198" s="139"/>
      <c r="C198" s="129" t="s">
        <v>18</v>
      </c>
      <c r="D198" s="140" t="s">
        <v>38</v>
      </c>
      <c r="E198" s="141"/>
      <c r="F198" s="141"/>
      <c r="G198" s="142"/>
      <c r="H198" s="143"/>
      <c r="I198" s="44"/>
      <c r="J198" s="44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9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20)</f>
        <v>20</v>
      </c>
      <c r="K199" s="46">
        <f ca="1">IF(I199&gt;0,J199*100/I199,0)</f>
        <v>35.714285714285715</v>
      </c>
      <c r="L199" s="4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9.5" x14ac:dyDescent="0.3">
      <c r="A200" s="138"/>
      <c r="B200" s="139"/>
      <c r="C200" s="139"/>
      <c r="D200" s="167" t="s">
        <v>81</v>
      </c>
      <c r="E200" s="145"/>
      <c r="F200" s="145"/>
      <c r="G200" s="143"/>
      <c r="H200" s="240" t="s">
        <v>35</v>
      </c>
      <c r="I200" s="44"/>
      <c r="J200" s="147">
        <f ca="1">J201+J202</f>
        <v>788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45"/>
      <c r="G201" s="143"/>
      <c r="H201" s="226" t="s">
        <v>35</v>
      </c>
      <c r="I201" s="44"/>
      <c r="J201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788)</f>
        <v>788</v>
      </c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45"/>
      <c r="G202" s="143"/>
      <c r="H202" s="226" t="s">
        <v>35</v>
      </c>
      <c r="I202" s="44"/>
      <c r="J202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241" t="s">
        <v>85</v>
      </c>
      <c r="I203" s="242">
        <f t="shared" ref="I203:J203" ca="1" si="172">I210</f>
        <v>30</v>
      </c>
      <c r="J203" s="242">
        <f t="shared" ca="1" si="172"/>
        <v>2</v>
      </c>
      <c r="K203" s="243">
        <f ca="1">IF(I203&gt;0,J203*100/I203,0)</f>
        <v>6.666666666666667</v>
      </c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40"/>
      <c r="C204" s="129" t="s">
        <v>18</v>
      </c>
      <c r="D204" s="238" t="s">
        <v>19</v>
      </c>
      <c r="E204" s="40"/>
      <c r="F204" s="40"/>
      <c r="G204" s="42"/>
      <c r="H204" s="239" t="s">
        <v>14</v>
      </c>
      <c r="I204" s="135"/>
      <c r="J204" s="135"/>
      <c r="K204" s="136"/>
      <c r="L204" s="132">
        <f t="shared" ref="L204:N204" ca="1" si="173">L205+L206+L207+L208</f>
        <v>136000</v>
      </c>
      <c r="M204" s="132">
        <f t="shared" ca="1" si="173"/>
        <v>0</v>
      </c>
      <c r="N204" s="132">
        <f t="shared" ca="1" si="173"/>
        <v>0</v>
      </c>
      <c r="O204" s="132">
        <f ca="1">IF(L204&gt;0,N204*100/L204,0)</f>
        <v>0</v>
      </c>
      <c r="P204" s="45"/>
      <c r="Q204" s="132">
        <f t="shared" ref="Q204:S204" ca="1" si="174">Q205+Q206+Q207+Q208</f>
        <v>0</v>
      </c>
      <c r="R204" s="132">
        <f t="shared" ca="1" si="174"/>
        <v>0</v>
      </c>
      <c r="S204" s="132">
        <f t="shared" ca="1" si="174"/>
        <v>0</v>
      </c>
      <c r="T204" s="45"/>
      <c r="U204" s="45"/>
    </row>
    <row r="205" spans="1:21" ht="18.75" x14ac:dyDescent="0.25">
      <c r="A205" s="128"/>
      <c r="B205" s="159"/>
      <c r="C205" s="40"/>
      <c r="D205" s="47" t="s">
        <v>86</v>
      </c>
      <c r="E205" s="40"/>
      <c r="F205" s="40"/>
      <c r="G205" s="42"/>
      <c r="H205" s="134" t="s">
        <v>14</v>
      </c>
      <c r="I205" s="135"/>
      <c r="J205" s="135"/>
      <c r="K205" s="136"/>
      <c r="L205" s="46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22000)</f>
        <v>22000</v>
      </c>
      <c r="M205" s="46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5" s="46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0)</f>
        <v>0</v>
      </c>
      <c r="O205" s="136"/>
      <c r="P205" s="45"/>
      <c r="Q205" s="46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5" s="46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5" s="46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5" s="136"/>
      <c r="U205" s="45"/>
    </row>
    <row r="206" spans="1:21" ht="18.75" x14ac:dyDescent="0.25">
      <c r="A206" s="224"/>
      <c r="B206" s="159"/>
      <c r="C206" s="40"/>
      <c r="D206" s="47" t="s">
        <v>87</v>
      </c>
      <c r="E206" s="40"/>
      <c r="F206" s="40"/>
      <c r="G206" s="42"/>
      <c r="H206" s="43" t="s">
        <v>14</v>
      </c>
      <c r="I206" s="44"/>
      <c r="J206" s="44"/>
      <c r="K206" s="45"/>
      <c r="L206" s="46">
        <v>0</v>
      </c>
      <c r="M206" s="46">
        <v>0</v>
      </c>
      <c r="N206" s="46">
        <v>0</v>
      </c>
      <c r="O206" s="136"/>
      <c r="P206" s="45"/>
      <c r="Q206" s="46">
        <v>0</v>
      </c>
      <c r="R206" s="46">
        <v>0</v>
      </c>
      <c r="S206" s="46">
        <v>0</v>
      </c>
      <c r="T206" s="136"/>
      <c r="U206" s="45"/>
    </row>
    <row r="207" spans="1:21" ht="18.75" x14ac:dyDescent="0.25">
      <c r="A207" s="224"/>
      <c r="B207" s="159"/>
      <c r="C207" s="40"/>
      <c r="D207" s="47" t="s">
        <v>88</v>
      </c>
      <c r="E207" s="40"/>
      <c r="F207" s="40"/>
      <c r="G207" s="42"/>
      <c r="H207" s="43" t="s">
        <v>14</v>
      </c>
      <c r="I207" s="44"/>
      <c r="J207" s="44"/>
      <c r="K207" s="45"/>
      <c r="L207" s="46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7" s="46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7" s="46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0)</f>
        <v>0</v>
      </c>
      <c r="O207" s="136"/>
      <c r="P207" s="45"/>
      <c r="Q207" s="46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0)</f>
        <v>0</v>
      </c>
      <c r="R207" s="46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7" s="46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0)</f>
        <v>0</v>
      </c>
      <c r="T207" s="136"/>
      <c r="U207" s="45"/>
    </row>
    <row r="208" spans="1:21" ht="18.75" x14ac:dyDescent="0.25">
      <c r="A208" s="224"/>
      <c r="B208" s="159"/>
      <c r="C208" s="40"/>
      <c r="D208" s="47" t="s">
        <v>89</v>
      </c>
      <c r="E208" s="40"/>
      <c r="F208" s="40"/>
      <c r="G208" s="42"/>
      <c r="H208" s="43" t="s">
        <v>14</v>
      </c>
      <c r="I208" s="44"/>
      <c r="J208" s="44"/>
      <c r="K208" s="45"/>
      <c r="L208" s="46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106000)</f>
        <v>106000</v>
      </c>
      <c r="M208" s="46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8" s="46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0)</f>
        <v>0</v>
      </c>
      <c r="O208" s="136"/>
      <c r="P208" s="45"/>
      <c r="Q208" s="46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8" s="46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8" s="46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8" s="136"/>
      <c r="U208" s="45"/>
    </row>
    <row r="209" spans="1:21" ht="19.5" x14ac:dyDescent="0.3">
      <c r="A209" s="138"/>
      <c r="B209" s="139"/>
      <c r="C209" s="129" t="s">
        <v>18</v>
      </c>
      <c r="D209" s="140" t="s">
        <v>38</v>
      </c>
      <c r="E209" s="141"/>
      <c r="F209" s="141"/>
      <c r="G209" s="142"/>
      <c r="H209" s="143"/>
      <c r="I209" s="135"/>
      <c r="J209" s="135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44" t="s">
        <v>85</v>
      </c>
      <c r="I210" s="245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10" s="245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2)</f>
        <v>2</v>
      </c>
      <c r="K210" s="246">
        <f ca="1">IF(I210&gt;0,J210*100/I210,0)</f>
        <v>6.666666666666667</v>
      </c>
      <c r="L210" s="45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45"/>
      <c r="F211" s="145"/>
      <c r="G211" s="143"/>
      <c r="H211" s="143"/>
      <c r="I211" s="44"/>
      <c r="J211" s="44"/>
      <c r="K211" s="136"/>
      <c r="L211" s="45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67" t="s">
        <v>91</v>
      </c>
      <c r="F212" s="145"/>
      <c r="G212" s="143"/>
      <c r="H212" s="244" t="s">
        <v>85</v>
      </c>
      <c r="I212" s="152">
        <v>0</v>
      </c>
      <c r="J212" s="245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1)</f>
        <v>1</v>
      </c>
      <c r="K212" s="153">
        <f t="shared" ref="K212:K214" si="175">IF(I212&gt;0,J212*100/I212,0)</f>
        <v>0</v>
      </c>
      <c r="L212" s="45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45"/>
      <c r="E213" s="167" t="s">
        <v>92</v>
      </c>
      <c r="F213" s="145"/>
      <c r="G213" s="145"/>
      <c r="H213" s="247" t="s">
        <v>93</v>
      </c>
      <c r="I213" s="152">
        <v>0</v>
      </c>
      <c r="J213" s="245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0)</f>
        <v>0</v>
      </c>
      <c r="K213" s="153">
        <f t="shared" si="175"/>
        <v>0</v>
      </c>
      <c r="L213" s="45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x14ac:dyDescent="0.3">
      <c r="A214" s="229"/>
      <c r="B214" s="230"/>
      <c r="C214" s="231" t="s">
        <v>94</v>
      </c>
      <c r="D214" s="232"/>
      <c r="E214" s="232"/>
      <c r="F214" s="232"/>
      <c r="G214" s="233"/>
      <c r="H214" s="241" t="s">
        <v>85</v>
      </c>
      <c r="I214" s="242">
        <f t="shared" ref="I214:J214" ca="1" si="176">I221</f>
        <v>10</v>
      </c>
      <c r="J214" s="242">
        <f t="shared" ca="1" si="176"/>
        <v>0</v>
      </c>
      <c r="K214" s="243">
        <f t="shared" ca="1" si="175"/>
        <v>0</v>
      </c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x14ac:dyDescent="0.3">
      <c r="A215" s="128"/>
      <c r="B215" s="40"/>
      <c r="C215" s="129" t="s">
        <v>18</v>
      </c>
      <c r="D215" s="238" t="s">
        <v>19</v>
      </c>
      <c r="E215" s="40"/>
      <c r="F215" s="40"/>
      <c r="G215" s="42"/>
      <c r="H215" s="239" t="s">
        <v>14</v>
      </c>
      <c r="I215" s="135"/>
      <c r="J215" s="135"/>
      <c r="K215" s="136"/>
      <c r="L215" s="132">
        <f t="shared" ref="L215:N215" ca="1" si="177">L216+L217+L218</f>
        <v>30000</v>
      </c>
      <c r="M215" s="132">
        <f t="shared" ca="1" si="177"/>
        <v>0</v>
      </c>
      <c r="N215" s="132">
        <f t="shared" ca="1" si="177"/>
        <v>0</v>
      </c>
      <c r="O215" s="132">
        <f ca="1">IF(L215&gt;0,N215*100/L215,0)</f>
        <v>0</v>
      </c>
      <c r="P215" s="45"/>
      <c r="Q215" s="132">
        <f t="shared" ref="Q215:S215" ca="1" si="178">Q216+Q217+Q218</f>
        <v>0</v>
      </c>
      <c r="R215" s="132">
        <f t="shared" ca="1" si="178"/>
        <v>0</v>
      </c>
      <c r="S215" s="132">
        <f t="shared" ca="1" si="178"/>
        <v>0</v>
      </c>
      <c r="T215" s="45"/>
      <c r="U215" s="45"/>
    </row>
    <row r="216" spans="1:21" ht="18.75" x14ac:dyDescent="0.25">
      <c r="A216" s="128"/>
      <c r="B216" s="159"/>
      <c r="C216" s="40"/>
      <c r="D216" s="47" t="s">
        <v>86</v>
      </c>
      <c r="E216" s="40"/>
      <c r="F216" s="40"/>
      <c r="G216" s="42"/>
      <c r="H216" s="134" t="s">
        <v>14</v>
      </c>
      <c r="I216" s="135"/>
      <c r="J216" s="135"/>
      <c r="K216" s="136"/>
      <c r="L216" s="46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5000)</f>
        <v>5000</v>
      </c>
      <c r="M216" s="46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6" s="46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6" s="136"/>
      <c r="P216" s="45"/>
      <c r="Q216" s="46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6" s="46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6" s="46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6" s="136"/>
      <c r="U216" s="45"/>
    </row>
    <row r="217" spans="1:21" ht="18.75" x14ac:dyDescent="0.25">
      <c r="A217" s="224"/>
      <c r="B217" s="159"/>
      <c r="C217" s="159"/>
      <c r="D217" s="47" t="s">
        <v>95</v>
      </c>
      <c r="E217" s="40"/>
      <c r="F217" s="40"/>
      <c r="G217" s="42"/>
      <c r="H217" s="134" t="s">
        <v>14</v>
      </c>
      <c r="I217" s="44"/>
      <c r="J217" s="44"/>
      <c r="K217" s="45"/>
      <c r="L217" s="46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25000)</f>
        <v>25000</v>
      </c>
      <c r="M217" s="46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7" s="46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7" s="136"/>
      <c r="P217" s="45"/>
      <c r="Q217" s="46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7" s="46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7" s="46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7" s="136"/>
      <c r="U217" s="45"/>
    </row>
    <row r="218" spans="1:21" ht="18.75" x14ac:dyDescent="0.25">
      <c r="A218" s="224"/>
      <c r="B218" s="159"/>
      <c r="C218" s="159"/>
      <c r="D218" s="47" t="s">
        <v>88</v>
      </c>
      <c r="E218" s="40"/>
      <c r="F218" s="40"/>
      <c r="G218" s="42"/>
      <c r="H218" s="134" t="s">
        <v>14</v>
      </c>
      <c r="I218" s="44"/>
      <c r="J218" s="44"/>
      <c r="K218" s="45"/>
      <c r="L218" s="46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8" s="46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8" s="46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8" s="136"/>
      <c r="P218" s="45"/>
      <c r="Q218" s="46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0)</f>
        <v>0</v>
      </c>
      <c r="R218" s="46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8" s="46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0)</f>
        <v>0</v>
      </c>
      <c r="T218" s="136"/>
      <c r="U218" s="45"/>
    </row>
    <row r="219" spans="1:21" ht="19.5" x14ac:dyDescent="0.3">
      <c r="A219" s="138"/>
      <c r="B219" s="139"/>
      <c r="C219" s="162" t="s">
        <v>18</v>
      </c>
      <c r="D219" s="140" t="s">
        <v>38</v>
      </c>
      <c r="E219" s="141"/>
      <c r="F219" s="141"/>
      <c r="G219" s="142"/>
      <c r="H219" s="143"/>
      <c r="I219" s="135"/>
      <c r="J219" s="44"/>
      <c r="K219" s="45"/>
      <c r="L219" s="45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x14ac:dyDescent="0.25">
      <c r="A220" s="138"/>
      <c r="B220" s="139"/>
      <c r="C220" s="139"/>
      <c r="D220" s="144" t="s">
        <v>96</v>
      </c>
      <c r="E220" s="145"/>
      <c r="F220" s="145"/>
      <c r="G220" s="143"/>
      <c r="H220" s="244" t="s">
        <v>85</v>
      </c>
      <c r="I220" s="245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20" s="245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20" s="248">
        <f t="shared" ref="K220:K222" ca="1" si="179">IF(I220&gt;0,J220*100/I220,0)</f>
        <v>0</v>
      </c>
      <c r="L220" s="45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x14ac:dyDescent="0.25">
      <c r="A221" s="138"/>
      <c r="B221" s="139"/>
      <c r="C221" s="139"/>
      <c r="D221" s="144" t="s">
        <v>97</v>
      </c>
      <c r="E221" s="145"/>
      <c r="F221" s="145"/>
      <c r="G221" s="143"/>
      <c r="H221" s="244" t="s">
        <v>85</v>
      </c>
      <c r="I221" s="245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1" s="245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0)</f>
        <v>0</v>
      </c>
      <c r="K221" s="248">
        <f t="shared" ca="1" si="179"/>
        <v>0</v>
      </c>
      <c r="L221" s="45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42">
        <f t="shared" ref="I222:J222" ca="1" si="180">I230</f>
        <v>239000</v>
      </c>
      <c r="J222" s="242">
        <f t="shared" ca="1" si="180"/>
        <v>0</v>
      </c>
      <c r="K222" s="243">
        <f t="shared" ca="1" si="179"/>
        <v>0</v>
      </c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40"/>
      <c r="C223" s="129" t="s">
        <v>18</v>
      </c>
      <c r="D223" s="238" t="s">
        <v>19</v>
      </c>
      <c r="E223" s="40"/>
      <c r="F223" s="40"/>
      <c r="G223" s="42"/>
      <c r="H223" s="239" t="s">
        <v>14</v>
      </c>
      <c r="I223" s="135"/>
      <c r="J223" s="135"/>
      <c r="K223" s="136"/>
      <c r="L223" s="132">
        <f t="shared" ref="L223:N223" ca="1" si="181">L224+L225+L226</f>
        <v>66500</v>
      </c>
      <c r="M223" s="132">
        <f t="shared" ca="1" si="181"/>
        <v>0</v>
      </c>
      <c r="N223" s="132">
        <f t="shared" ca="1" si="181"/>
        <v>0</v>
      </c>
      <c r="O223" s="132">
        <f ca="1">IF(L223&gt;0,N223*100/L223,0)</f>
        <v>0</v>
      </c>
      <c r="P223" s="45"/>
      <c r="Q223" s="132">
        <f t="shared" ref="Q223:S223" ca="1" si="182">Q224+Q225+Q226</f>
        <v>0</v>
      </c>
      <c r="R223" s="132">
        <f t="shared" ca="1" si="182"/>
        <v>0</v>
      </c>
      <c r="S223" s="132">
        <f t="shared" ca="1" si="182"/>
        <v>0</v>
      </c>
      <c r="T223" s="45"/>
      <c r="U223" s="45"/>
    </row>
    <row r="224" spans="1:21" ht="18.75" x14ac:dyDescent="0.25">
      <c r="A224" s="128"/>
      <c r="B224" s="159"/>
      <c r="C224" s="40"/>
      <c r="D224" s="47" t="s">
        <v>86</v>
      </c>
      <c r="E224" s="40"/>
      <c r="F224" s="40"/>
      <c r="G224" s="42"/>
      <c r="H224" s="134" t="s">
        <v>14</v>
      </c>
      <c r="I224" s="135"/>
      <c r="J224" s="135"/>
      <c r="K224" s="136"/>
      <c r="L224" s="46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32500)</f>
        <v>32500</v>
      </c>
      <c r="M224" s="46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4" s="46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0)</f>
        <v>0</v>
      </c>
      <c r="O224" s="136"/>
      <c r="P224" s="45"/>
      <c r="Q224" s="46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4" s="46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4" s="46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4" s="136"/>
      <c r="U224" s="45"/>
    </row>
    <row r="225" spans="1:21" ht="19.5" customHeight="1" x14ac:dyDescent="0.25">
      <c r="A225" s="224"/>
      <c r="B225" s="159"/>
      <c r="C225" s="159"/>
      <c r="D225" s="47" t="s">
        <v>100</v>
      </c>
      <c r="E225" s="40"/>
      <c r="F225" s="40"/>
      <c r="G225" s="42"/>
      <c r="H225" s="134" t="s">
        <v>14</v>
      </c>
      <c r="I225" s="44"/>
      <c r="J225" s="44"/>
      <c r="K225" s="45"/>
      <c r="L225" s="46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34000)</f>
        <v>34000</v>
      </c>
      <c r="M225" s="46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5" s="46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0)</f>
        <v>0</v>
      </c>
      <c r="O225" s="136"/>
      <c r="P225" s="45"/>
      <c r="Q225" s="46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5" s="46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5" s="46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5" s="136"/>
      <c r="U225" s="45"/>
    </row>
    <row r="226" spans="1:21" ht="12.75" hidden="1" x14ac:dyDescent="0.2">
      <c r="A226" s="249"/>
      <c r="B226" s="250"/>
      <c r="C226" s="250"/>
      <c r="D226" s="251"/>
      <c r="E226" s="251"/>
      <c r="F226" s="251"/>
      <c r="G226" s="252"/>
      <c r="H226" s="253"/>
      <c r="I226" s="254"/>
      <c r="J226" s="254"/>
      <c r="K226" s="255"/>
      <c r="L226" s="255"/>
      <c r="M226" s="255"/>
      <c r="N226" s="255"/>
      <c r="O226" s="255"/>
      <c r="P226" s="255"/>
      <c r="Q226" s="255"/>
      <c r="R226" s="255"/>
      <c r="S226" s="255"/>
      <c r="T226" s="136"/>
      <c r="U226" s="45"/>
    </row>
    <row r="227" spans="1:21" ht="19.5" x14ac:dyDescent="0.3">
      <c r="A227" s="138"/>
      <c r="B227" s="139"/>
      <c r="C227" s="162" t="s">
        <v>18</v>
      </c>
      <c r="D227" s="140" t="s">
        <v>38</v>
      </c>
      <c r="E227" s="141"/>
      <c r="F227" s="141"/>
      <c r="G227" s="142"/>
      <c r="H227" s="143"/>
      <c r="I227" s="135"/>
      <c r="J227" s="13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7" t="s">
        <v>101</v>
      </c>
      <c r="E228" s="145"/>
      <c r="F228" s="145"/>
      <c r="G228" s="143"/>
      <c r="H228" s="143"/>
      <c r="I228" s="44"/>
      <c r="J228" s="44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245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9" s="245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0)</f>
        <v>0</v>
      </c>
      <c r="K229" s="246">
        <f t="shared" ref="K229:K232" ca="1" si="183">IF(I229&gt;0,J229*100/I229,0)</f>
        <v>0</v>
      </c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245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30" s="245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0)</f>
        <v>0</v>
      </c>
      <c r="K230" s="246">
        <f t="shared" ca="1" si="183"/>
        <v>0</v>
      </c>
      <c r="L230" s="45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47" t="s">
        <v>104</v>
      </c>
      <c r="E231" s="145"/>
      <c r="F231" s="145"/>
      <c r="G231" s="143"/>
      <c r="H231" s="150" t="s">
        <v>35</v>
      </c>
      <c r="I231" s="245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1" s="245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1" s="246">
        <f t="shared" ca="1" si="183"/>
        <v>0</v>
      </c>
      <c r="L231" s="45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x14ac:dyDescent="0.3">
      <c r="A232" s="229"/>
      <c r="B232" s="230"/>
      <c r="C232" s="231" t="s">
        <v>105</v>
      </c>
      <c r="D232" s="232"/>
      <c r="E232" s="232"/>
      <c r="F232" s="232"/>
      <c r="G232" s="233"/>
      <c r="H232" s="234" t="s">
        <v>35</v>
      </c>
      <c r="I232" s="235">
        <f t="shared" ref="I232:J232" si="184">I243+I254</f>
        <v>0</v>
      </c>
      <c r="J232" s="235">
        <f t="shared" si="184"/>
        <v>0</v>
      </c>
      <c r="K232" s="236">
        <f t="shared" si="183"/>
        <v>0</v>
      </c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x14ac:dyDescent="0.3">
      <c r="A233" s="128"/>
      <c r="B233" s="40"/>
      <c r="C233" s="129" t="s">
        <v>18</v>
      </c>
      <c r="D233" s="130" t="s">
        <v>19</v>
      </c>
      <c r="E233" s="40"/>
      <c r="F233" s="40"/>
      <c r="G233" s="42"/>
      <c r="H233" s="239" t="s">
        <v>14</v>
      </c>
      <c r="I233" s="135"/>
      <c r="J233" s="135"/>
      <c r="K233" s="136"/>
      <c r="L233" s="132">
        <f t="shared" ref="L233:N233" ca="1" si="185">L234+L235+L236+L237</f>
        <v>209600</v>
      </c>
      <c r="M233" s="132">
        <f t="shared" ca="1" si="185"/>
        <v>0</v>
      </c>
      <c r="N233" s="132">
        <f t="shared" ca="1" si="185"/>
        <v>107999.34</v>
      </c>
      <c r="O233" s="132">
        <f ca="1">IF(L233&gt;0,N233*100/L233,0)</f>
        <v>51.526402671755726</v>
      </c>
      <c r="P233" s="45"/>
      <c r="Q233" s="132">
        <f t="shared" ref="Q233:S233" ca="1" si="186">Q234+Q235+Q236+Q237</f>
        <v>0</v>
      </c>
      <c r="R233" s="132">
        <f t="shared" ca="1" si="186"/>
        <v>0</v>
      </c>
      <c r="S233" s="132">
        <f t="shared" ca="1" si="186"/>
        <v>0</v>
      </c>
      <c r="T233" s="45"/>
      <c r="U233" s="45"/>
    </row>
    <row r="234" spans="1:21" ht="18.75" x14ac:dyDescent="0.25">
      <c r="A234" s="128"/>
      <c r="B234" s="159"/>
      <c r="C234" s="40"/>
      <c r="D234" s="47" t="s">
        <v>86</v>
      </c>
      <c r="E234" s="40"/>
      <c r="F234" s="40"/>
      <c r="G234" s="42"/>
      <c r="H234" s="134" t="s">
        <v>14</v>
      </c>
      <c r="I234" s="135"/>
      <c r="J234" s="135"/>
      <c r="K234" s="136"/>
      <c r="L234" s="46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15000)</f>
        <v>15000</v>
      </c>
      <c r="M234" s="46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4" s="46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4700)</f>
        <v>4700</v>
      </c>
      <c r="O234" s="45"/>
      <c r="P234" s="45"/>
      <c r="Q234" s="46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4" s="46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4" s="46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4" s="45"/>
      <c r="U234" s="45"/>
    </row>
    <row r="235" spans="1:21" ht="18.75" x14ac:dyDescent="0.25">
      <c r="A235" s="224"/>
      <c r="B235" s="159"/>
      <c r="C235" s="159"/>
      <c r="D235" s="47" t="s">
        <v>88</v>
      </c>
      <c r="E235" s="40"/>
      <c r="F235" s="40"/>
      <c r="G235" s="42"/>
      <c r="H235" s="134" t="s">
        <v>14</v>
      </c>
      <c r="I235" s="44"/>
      <c r="J235" s="44"/>
      <c r="K235" s="45"/>
      <c r="L235" s="46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91000)</f>
        <v>91000</v>
      </c>
      <c r="M235" s="46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5" s="46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64133.34)</f>
        <v>64133.34</v>
      </c>
      <c r="O235" s="45"/>
      <c r="P235" s="45"/>
      <c r="Q235" s="46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5" s="46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5" s="46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5" s="45"/>
      <c r="U235" s="45"/>
    </row>
    <row r="236" spans="1:21" ht="18.75" x14ac:dyDescent="0.25">
      <c r="A236" s="224"/>
      <c r="B236" s="159"/>
      <c r="C236" s="159"/>
      <c r="D236" s="47" t="s">
        <v>106</v>
      </c>
      <c r="E236" s="40"/>
      <c r="F236" s="40"/>
      <c r="G236" s="42"/>
      <c r="H236" s="134" t="s">
        <v>14</v>
      </c>
      <c r="I236" s="44"/>
      <c r="J236" s="44"/>
      <c r="K236" s="45"/>
      <c r="L236" s="46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45600)</f>
        <v>45600</v>
      </c>
      <c r="M236" s="46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6" s="46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6" s="45"/>
      <c r="P236" s="45"/>
      <c r="Q236" s="46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6" s="46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6" s="46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6" s="45"/>
      <c r="U236" s="45"/>
    </row>
    <row r="237" spans="1:21" ht="18.75" x14ac:dyDescent="0.25">
      <c r="A237" s="224"/>
      <c r="B237" s="159"/>
      <c r="C237" s="159"/>
      <c r="D237" s="47" t="s">
        <v>107</v>
      </c>
      <c r="E237" s="40"/>
      <c r="F237" s="40"/>
      <c r="G237" s="42"/>
      <c r="H237" s="134" t="s">
        <v>14</v>
      </c>
      <c r="I237" s="44"/>
      <c r="J237" s="44"/>
      <c r="K237" s="45"/>
      <c r="L237" s="46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58000)</f>
        <v>58000</v>
      </c>
      <c r="M237" s="46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7" s="46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0)</f>
        <v>0</v>
      </c>
      <c r="O237" s="45"/>
      <c r="P237" s="45"/>
      <c r="Q237" s="46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7" s="46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7" s="46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7" s="45"/>
      <c r="U237" s="45"/>
    </row>
    <row r="238" spans="1:21" ht="19.5" x14ac:dyDescent="0.3">
      <c r="A238" s="138"/>
      <c r="B238" s="139"/>
      <c r="C238" s="162" t="s">
        <v>18</v>
      </c>
      <c r="D238" s="140" t="s">
        <v>38</v>
      </c>
      <c r="E238" s="141"/>
      <c r="F238" s="141"/>
      <c r="G238" s="142"/>
      <c r="H238" s="143"/>
      <c r="I238" s="135"/>
      <c r="J238" s="44"/>
      <c r="K238" s="45"/>
      <c r="L238" s="45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x14ac:dyDescent="0.25">
      <c r="A239" s="138"/>
      <c r="B239" s="139"/>
      <c r="C239" s="139"/>
      <c r="D239" s="167" t="s">
        <v>108</v>
      </c>
      <c r="E239" s="145"/>
      <c r="F239" s="145"/>
      <c r="G239" s="143"/>
      <c r="H239" s="150" t="s">
        <v>35</v>
      </c>
      <c r="I239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40)</f>
        <v>40</v>
      </c>
      <c r="J239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9" s="46">
        <f ca="1">IF(I239&gt;0,J239*100/I239,0)</f>
        <v>107.5</v>
      </c>
      <c r="L239" s="45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x14ac:dyDescent="0.25">
      <c r="A240" s="138"/>
      <c r="B240" s="139"/>
      <c r="C240" s="139"/>
      <c r="D240" s="256" t="s">
        <v>43</v>
      </c>
      <c r="E240" s="145"/>
      <c r="F240" s="145"/>
      <c r="G240" s="143"/>
      <c r="H240" s="143"/>
      <c r="I240" s="44"/>
      <c r="J240" s="44"/>
      <c r="K240" s="45"/>
      <c r="L240" s="45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x14ac:dyDescent="0.25">
      <c r="A241" s="138"/>
      <c r="B241" s="139"/>
      <c r="C241" s="139"/>
      <c r="D241" s="139"/>
      <c r="E241" s="144" t="s">
        <v>109</v>
      </c>
      <c r="F241" s="145"/>
      <c r="G241" s="143"/>
      <c r="H241" s="150" t="s">
        <v>35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0)</f>
        <v>0</v>
      </c>
      <c r="K241" s="46">
        <f t="shared" ref="K241:K242" si="187">IF(I241&gt;0,J241*100/I241,0)</f>
        <v>0</v>
      </c>
      <c r="L241" s="45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x14ac:dyDescent="0.25">
      <c r="A242" s="138"/>
      <c r="B242" s="139"/>
      <c r="C242" s="139"/>
      <c r="D242" s="139"/>
      <c r="E242" s="144" t="s">
        <v>110</v>
      </c>
      <c r="F242" s="145"/>
      <c r="G242" s="143"/>
      <c r="H242" s="150" t="s">
        <v>61</v>
      </c>
      <c r="I242" s="152">
        <v>0</v>
      </c>
      <c r="J242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0)</f>
        <v>0</v>
      </c>
      <c r="K242" s="46">
        <f t="shared" si="187"/>
        <v>0</v>
      </c>
      <c r="L242" s="45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49"/>
      <c r="B243" s="250"/>
      <c r="C243" s="257" t="s">
        <v>111</v>
      </c>
      <c r="D243" s="251"/>
      <c r="E243" s="251"/>
      <c r="F243" s="251"/>
      <c r="G243" s="252"/>
      <c r="H243" s="258" t="s">
        <v>35</v>
      </c>
      <c r="I243" s="254"/>
      <c r="J243" s="254"/>
      <c r="K243" s="255"/>
      <c r="L243" s="255"/>
      <c r="M243" s="255"/>
      <c r="N243" s="255"/>
      <c r="O243" s="255"/>
      <c r="P243" s="255"/>
      <c r="Q243" s="255"/>
      <c r="R243" s="255"/>
      <c r="S243" s="255"/>
      <c r="T243" s="237"/>
      <c r="U243" s="237"/>
    </row>
    <row r="244" spans="1:21" ht="19.5" hidden="1" x14ac:dyDescent="0.3">
      <c r="A244" s="259"/>
      <c r="B244" s="251"/>
      <c r="C244" s="260" t="s">
        <v>18</v>
      </c>
      <c r="D244" s="261" t="s">
        <v>19</v>
      </c>
      <c r="E244" s="251"/>
      <c r="F244" s="251"/>
      <c r="G244" s="252"/>
      <c r="H244" s="262" t="s">
        <v>14</v>
      </c>
      <c r="I244" s="254"/>
      <c r="J244" s="254"/>
      <c r="K244" s="255"/>
      <c r="L244" s="255"/>
      <c r="M244" s="255"/>
      <c r="N244" s="255"/>
      <c r="O244" s="255"/>
      <c r="P244" s="255"/>
      <c r="Q244" s="255"/>
      <c r="R244" s="255"/>
      <c r="S244" s="255"/>
      <c r="T244" s="45"/>
      <c r="U244" s="45"/>
    </row>
    <row r="245" spans="1:21" ht="18.75" hidden="1" x14ac:dyDescent="0.25">
      <c r="A245" s="259"/>
      <c r="B245" s="250"/>
      <c r="C245" s="251"/>
      <c r="D245" s="263" t="s">
        <v>86</v>
      </c>
      <c r="E245" s="251"/>
      <c r="F245" s="251"/>
      <c r="G245" s="252"/>
      <c r="H245" s="264" t="s">
        <v>14</v>
      </c>
      <c r="I245" s="254"/>
      <c r="J245" s="254"/>
      <c r="K245" s="255"/>
      <c r="L245" s="255"/>
      <c r="M245" s="255"/>
      <c r="N245" s="255"/>
      <c r="O245" s="255"/>
      <c r="P245" s="255"/>
      <c r="Q245" s="255"/>
      <c r="R245" s="255"/>
      <c r="S245" s="255"/>
      <c r="T245" s="45"/>
      <c r="U245" s="45"/>
    </row>
    <row r="246" spans="1:21" ht="18.75" hidden="1" x14ac:dyDescent="0.25">
      <c r="A246" s="249"/>
      <c r="B246" s="250"/>
      <c r="C246" s="250"/>
      <c r="D246" s="263" t="s">
        <v>88</v>
      </c>
      <c r="E246" s="251"/>
      <c r="F246" s="251"/>
      <c r="G246" s="252"/>
      <c r="H246" s="264" t="s">
        <v>14</v>
      </c>
      <c r="I246" s="254"/>
      <c r="J246" s="254"/>
      <c r="K246" s="255"/>
      <c r="L246" s="255"/>
      <c r="M246" s="255"/>
      <c r="N246" s="255"/>
      <c r="O246" s="255"/>
      <c r="P246" s="255"/>
      <c r="Q246" s="255"/>
      <c r="R246" s="255"/>
      <c r="S246" s="255"/>
      <c r="T246" s="45"/>
      <c r="U246" s="45"/>
    </row>
    <row r="247" spans="1:21" ht="18.75" hidden="1" x14ac:dyDescent="0.25">
      <c r="A247" s="249"/>
      <c r="B247" s="250"/>
      <c r="C247" s="250"/>
      <c r="D247" s="263" t="s">
        <v>106</v>
      </c>
      <c r="E247" s="251"/>
      <c r="F247" s="251"/>
      <c r="G247" s="252"/>
      <c r="H247" s="264" t="s">
        <v>14</v>
      </c>
      <c r="I247" s="254"/>
      <c r="J247" s="254"/>
      <c r="K247" s="255"/>
      <c r="L247" s="255"/>
      <c r="M247" s="255"/>
      <c r="N247" s="255"/>
      <c r="O247" s="255"/>
      <c r="P247" s="255"/>
      <c r="Q247" s="255"/>
      <c r="R247" s="255"/>
      <c r="S247" s="255"/>
      <c r="T247" s="45"/>
      <c r="U247" s="45"/>
    </row>
    <row r="248" spans="1:21" ht="18.75" hidden="1" x14ac:dyDescent="0.25">
      <c r="A248" s="249"/>
      <c r="B248" s="250"/>
      <c r="C248" s="250"/>
      <c r="D248" s="263" t="s">
        <v>107</v>
      </c>
      <c r="E248" s="251"/>
      <c r="F248" s="251"/>
      <c r="G248" s="252"/>
      <c r="H248" s="264" t="s">
        <v>14</v>
      </c>
      <c r="I248" s="254"/>
      <c r="J248" s="254"/>
      <c r="K248" s="255"/>
      <c r="L248" s="255"/>
      <c r="M248" s="255"/>
      <c r="N248" s="255"/>
      <c r="O248" s="255"/>
      <c r="P248" s="255"/>
      <c r="Q248" s="255"/>
      <c r="R248" s="255"/>
      <c r="S248" s="255"/>
      <c r="T248" s="45"/>
      <c r="U248" s="45"/>
    </row>
    <row r="249" spans="1:21" ht="19.5" hidden="1" x14ac:dyDescent="0.3">
      <c r="A249" s="249"/>
      <c r="B249" s="250"/>
      <c r="C249" s="265" t="s">
        <v>18</v>
      </c>
      <c r="D249" s="266" t="s">
        <v>38</v>
      </c>
      <c r="E249" s="251"/>
      <c r="F249" s="251"/>
      <c r="G249" s="252"/>
      <c r="H249" s="252"/>
      <c r="I249" s="254"/>
      <c r="J249" s="254"/>
      <c r="K249" s="255"/>
      <c r="L249" s="255"/>
      <c r="M249" s="255"/>
      <c r="N249" s="255"/>
      <c r="O249" s="255"/>
      <c r="P249" s="255"/>
      <c r="Q249" s="255"/>
      <c r="R249" s="255"/>
      <c r="S249" s="255"/>
      <c r="T249" s="136"/>
      <c r="U249" s="136"/>
    </row>
    <row r="250" spans="1:21" ht="18.75" hidden="1" x14ac:dyDescent="0.25">
      <c r="A250" s="249"/>
      <c r="B250" s="250"/>
      <c r="C250" s="250"/>
      <c r="D250" s="263" t="s">
        <v>108</v>
      </c>
      <c r="E250" s="251"/>
      <c r="F250" s="251"/>
      <c r="G250" s="252"/>
      <c r="H250" s="267" t="s">
        <v>35</v>
      </c>
      <c r="I250" s="254"/>
      <c r="J250" s="254"/>
      <c r="K250" s="255"/>
      <c r="L250" s="255"/>
      <c r="M250" s="255"/>
      <c r="N250" s="255"/>
      <c r="O250" s="255"/>
      <c r="P250" s="255"/>
      <c r="Q250" s="255"/>
      <c r="R250" s="255"/>
      <c r="S250" s="255"/>
      <c r="T250" s="45"/>
      <c r="U250" s="45"/>
    </row>
    <row r="251" spans="1:21" ht="18.75" hidden="1" x14ac:dyDescent="0.25">
      <c r="A251" s="249"/>
      <c r="B251" s="250"/>
      <c r="C251" s="250"/>
      <c r="D251" s="268" t="s">
        <v>43</v>
      </c>
      <c r="E251" s="251"/>
      <c r="F251" s="251"/>
      <c r="G251" s="252"/>
      <c r="H251" s="252"/>
      <c r="I251" s="254"/>
      <c r="J251" s="254"/>
      <c r="K251" s="255"/>
      <c r="L251" s="255"/>
      <c r="M251" s="255"/>
      <c r="N251" s="255"/>
      <c r="O251" s="255"/>
      <c r="P251" s="255"/>
      <c r="Q251" s="255"/>
      <c r="R251" s="255"/>
      <c r="S251" s="255"/>
      <c r="T251" s="136"/>
      <c r="U251" s="136"/>
    </row>
    <row r="252" spans="1:21" ht="18.75" hidden="1" x14ac:dyDescent="0.25">
      <c r="A252" s="249"/>
      <c r="B252" s="250"/>
      <c r="C252" s="250"/>
      <c r="D252" s="250"/>
      <c r="E252" s="269" t="s">
        <v>109</v>
      </c>
      <c r="F252" s="251"/>
      <c r="G252" s="252"/>
      <c r="H252" s="267" t="s">
        <v>35</v>
      </c>
      <c r="I252" s="254"/>
      <c r="J252" s="254"/>
      <c r="K252" s="255"/>
      <c r="L252" s="255"/>
      <c r="M252" s="255"/>
      <c r="N252" s="255"/>
      <c r="O252" s="255"/>
      <c r="P252" s="255"/>
      <c r="Q252" s="255"/>
      <c r="R252" s="255"/>
      <c r="S252" s="255"/>
      <c r="T252" s="45"/>
      <c r="U252" s="45"/>
    </row>
    <row r="253" spans="1:21" ht="18.75" hidden="1" x14ac:dyDescent="0.25">
      <c r="A253" s="249"/>
      <c r="B253" s="250"/>
      <c r="C253" s="250"/>
      <c r="D253" s="250"/>
      <c r="E253" s="269" t="s">
        <v>110</v>
      </c>
      <c r="F253" s="251"/>
      <c r="G253" s="252"/>
      <c r="H253" s="267" t="s">
        <v>61</v>
      </c>
      <c r="I253" s="254"/>
      <c r="J253" s="254"/>
      <c r="K253" s="255"/>
      <c r="L253" s="255"/>
      <c r="M253" s="255"/>
      <c r="N253" s="255"/>
      <c r="O253" s="255"/>
      <c r="P253" s="255"/>
      <c r="Q253" s="255"/>
      <c r="R253" s="255"/>
      <c r="S253" s="255"/>
      <c r="T253" s="45"/>
      <c r="U253" s="45"/>
    </row>
    <row r="254" spans="1:21" ht="19.5" hidden="1" x14ac:dyDescent="0.3">
      <c r="A254" s="249"/>
      <c r="B254" s="250"/>
      <c r="C254" s="257" t="s">
        <v>112</v>
      </c>
      <c r="D254" s="251"/>
      <c r="E254" s="251"/>
      <c r="F254" s="251"/>
      <c r="G254" s="252"/>
      <c r="H254" s="258" t="s">
        <v>35</v>
      </c>
      <c r="I254" s="254"/>
      <c r="J254" s="254"/>
      <c r="K254" s="255"/>
      <c r="L254" s="255"/>
      <c r="M254" s="255"/>
      <c r="N254" s="255"/>
      <c r="O254" s="255"/>
      <c r="P254" s="255"/>
      <c r="Q254" s="255"/>
      <c r="R254" s="255"/>
      <c r="S254" s="255"/>
      <c r="T254" s="237"/>
      <c r="U254" s="237"/>
    </row>
    <row r="255" spans="1:21" ht="19.5" hidden="1" x14ac:dyDescent="0.3">
      <c r="A255" s="259"/>
      <c r="B255" s="251"/>
      <c r="C255" s="260" t="s">
        <v>18</v>
      </c>
      <c r="D255" s="266" t="s">
        <v>19</v>
      </c>
      <c r="E255" s="251"/>
      <c r="F255" s="251"/>
      <c r="G255" s="252"/>
      <c r="H255" s="262" t="s">
        <v>14</v>
      </c>
      <c r="I255" s="254"/>
      <c r="J255" s="254"/>
      <c r="K255" s="255"/>
      <c r="L255" s="255"/>
      <c r="M255" s="255"/>
      <c r="N255" s="255"/>
      <c r="O255" s="255"/>
      <c r="P255" s="255"/>
      <c r="Q255" s="255"/>
      <c r="R255" s="255"/>
      <c r="S255" s="255"/>
      <c r="T255" s="45"/>
      <c r="U255" s="45"/>
    </row>
    <row r="256" spans="1:21" ht="18.75" hidden="1" x14ac:dyDescent="0.25">
      <c r="A256" s="259"/>
      <c r="B256" s="250"/>
      <c r="C256" s="251"/>
      <c r="D256" s="263" t="s">
        <v>86</v>
      </c>
      <c r="E256" s="251"/>
      <c r="F256" s="251"/>
      <c r="G256" s="252"/>
      <c r="H256" s="264" t="s">
        <v>14</v>
      </c>
      <c r="I256" s="254"/>
      <c r="J256" s="254"/>
      <c r="K256" s="255"/>
      <c r="L256" s="255"/>
      <c r="M256" s="255"/>
      <c r="N256" s="255"/>
      <c r="O256" s="255"/>
      <c r="P256" s="255"/>
      <c r="Q256" s="255"/>
      <c r="R256" s="255"/>
      <c r="S256" s="255"/>
      <c r="T256" s="45"/>
      <c r="U256" s="45"/>
    </row>
    <row r="257" spans="1:21" ht="18.75" hidden="1" x14ac:dyDescent="0.25">
      <c r="A257" s="249"/>
      <c r="B257" s="250"/>
      <c r="C257" s="250"/>
      <c r="D257" s="263" t="s">
        <v>88</v>
      </c>
      <c r="E257" s="251"/>
      <c r="F257" s="251"/>
      <c r="G257" s="252"/>
      <c r="H257" s="264" t="s">
        <v>14</v>
      </c>
      <c r="I257" s="254"/>
      <c r="J257" s="254"/>
      <c r="K257" s="255"/>
      <c r="L257" s="255"/>
      <c r="M257" s="255"/>
      <c r="N257" s="255"/>
      <c r="O257" s="255"/>
      <c r="P257" s="255"/>
      <c r="Q257" s="255"/>
      <c r="R257" s="255"/>
      <c r="S257" s="255"/>
      <c r="T257" s="45"/>
      <c r="U257" s="45"/>
    </row>
    <row r="258" spans="1:21" ht="18.75" hidden="1" x14ac:dyDescent="0.25">
      <c r="A258" s="249"/>
      <c r="B258" s="250"/>
      <c r="C258" s="250"/>
      <c r="D258" s="263" t="s">
        <v>106</v>
      </c>
      <c r="E258" s="251"/>
      <c r="F258" s="251"/>
      <c r="G258" s="252"/>
      <c r="H258" s="264" t="s">
        <v>14</v>
      </c>
      <c r="I258" s="254"/>
      <c r="J258" s="254"/>
      <c r="K258" s="255"/>
      <c r="L258" s="255"/>
      <c r="M258" s="255"/>
      <c r="N258" s="255"/>
      <c r="O258" s="255"/>
      <c r="P258" s="255"/>
      <c r="Q258" s="255"/>
      <c r="R258" s="255"/>
      <c r="S258" s="255"/>
      <c r="T258" s="45"/>
      <c r="U258" s="45"/>
    </row>
    <row r="259" spans="1:21" ht="18.75" hidden="1" x14ac:dyDescent="0.25">
      <c r="A259" s="249"/>
      <c r="B259" s="250"/>
      <c r="C259" s="250"/>
      <c r="D259" s="263" t="s">
        <v>107</v>
      </c>
      <c r="E259" s="251"/>
      <c r="F259" s="251"/>
      <c r="G259" s="252"/>
      <c r="H259" s="264" t="s">
        <v>14</v>
      </c>
      <c r="I259" s="254"/>
      <c r="J259" s="254"/>
      <c r="K259" s="255"/>
      <c r="L259" s="255"/>
      <c r="M259" s="255"/>
      <c r="N259" s="255"/>
      <c r="O259" s="255"/>
      <c r="P259" s="255"/>
      <c r="Q259" s="255"/>
      <c r="R259" s="255"/>
      <c r="S259" s="255"/>
      <c r="T259" s="45"/>
      <c r="U259" s="45"/>
    </row>
    <row r="260" spans="1:21" ht="19.5" hidden="1" x14ac:dyDescent="0.3">
      <c r="A260" s="249"/>
      <c r="B260" s="250"/>
      <c r="C260" s="265" t="s">
        <v>18</v>
      </c>
      <c r="D260" s="266" t="s">
        <v>38</v>
      </c>
      <c r="E260" s="251"/>
      <c r="F260" s="251"/>
      <c r="G260" s="252"/>
      <c r="H260" s="252"/>
      <c r="I260" s="254"/>
      <c r="J260" s="254"/>
      <c r="K260" s="255"/>
      <c r="L260" s="255"/>
      <c r="M260" s="255"/>
      <c r="N260" s="255"/>
      <c r="O260" s="255"/>
      <c r="P260" s="255"/>
      <c r="Q260" s="255"/>
      <c r="R260" s="255"/>
      <c r="S260" s="255"/>
      <c r="T260" s="136"/>
      <c r="U260" s="136"/>
    </row>
    <row r="261" spans="1:21" ht="18.75" hidden="1" x14ac:dyDescent="0.25">
      <c r="A261" s="249"/>
      <c r="B261" s="250"/>
      <c r="C261" s="250"/>
      <c r="D261" s="263" t="s">
        <v>108</v>
      </c>
      <c r="E261" s="251"/>
      <c r="F261" s="251"/>
      <c r="G261" s="252"/>
      <c r="H261" s="267" t="s">
        <v>35</v>
      </c>
      <c r="I261" s="254"/>
      <c r="J261" s="254"/>
      <c r="K261" s="255"/>
      <c r="L261" s="255"/>
      <c r="M261" s="255"/>
      <c r="N261" s="255"/>
      <c r="O261" s="255"/>
      <c r="P261" s="255"/>
      <c r="Q261" s="255"/>
      <c r="R261" s="255"/>
      <c r="S261" s="255"/>
      <c r="T261" s="45"/>
      <c r="U261" s="45"/>
    </row>
    <row r="262" spans="1:21" ht="18.75" hidden="1" x14ac:dyDescent="0.25">
      <c r="A262" s="249"/>
      <c r="B262" s="250"/>
      <c r="C262" s="250"/>
      <c r="D262" s="268" t="s">
        <v>43</v>
      </c>
      <c r="E262" s="251"/>
      <c r="F262" s="251"/>
      <c r="G262" s="252"/>
      <c r="H262" s="252"/>
      <c r="I262" s="254"/>
      <c r="J262" s="254"/>
      <c r="K262" s="255"/>
      <c r="L262" s="255"/>
      <c r="M262" s="255"/>
      <c r="N262" s="255"/>
      <c r="O262" s="255"/>
      <c r="P262" s="255"/>
      <c r="Q262" s="255"/>
      <c r="R262" s="255"/>
      <c r="S262" s="255"/>
      <c r="T262" s="136"/>
      <c r="U262" s="136"/>
    </row>
    <row r="263" spans="1:21" ht="18.75" hidden="1" x14ac:dyDescent="0.25">
      <c r="A263" s="249"/>
      <c r="B263" s="250"/>
      <c r="C263" s="250"/>
      <c r="D263" s="250"/>
      <c r="E263" s="269" t="s">
        <v>109</v>
      </c>
      <c r="F263" s="251"/>
      <c r="G263" s="252"/>
      <c r="H263" s="267" t="s">
        <v>35</v>
      </c>
      <c r="I263" s="254"/>
      <c r="J263" s="254"/>
      <c r="K263" s="255"/>
      <c r="L263" s="255"/>
      <c r="M263" s="255"/>
      <c r="N263" s="255"/>
      <c r="O263" s="255"/>
      <c r="P263" s="255"/>
      <c r="Q263" s="255"/>
      <c r="R263" s="255"/>
      <c r="S263" s="255"/>
      <c r="T263" s="45"/>
      <c r="U263" s="45"/>
    </row>
    <row r="264" spans="1:21" ht="18.75" hidden="1" x14ac:dyDescent="0.25">
      <c r="A264" s="249"/>
      <c r="B264" s="250"/>
      <c r="C264" s="250"/>
      <c r="D264" s="250"/>
      <c r="E264" s="269" t="s">
        <v>110</v>
      </c>
      <c r="F264" s="251"/>
      <c r="G264" s="252"/>
      <c r="H264" s="267" t="s">
        <v>61</v>
      </c>
      <c r="I264" s="254"/>
      <c r="J264" s="254"/>
      <c r="K264" s="255"/>
      <c r="L264" s="255"/>
      <c r="M264" s="255"/>
      <c r="N264" s="255"/>
      <c r="O264" s="255"/>
      <c r="P264" s="255"/>
      <c r="Q264" s="255"/>
      <c r="R264" s="255"/>
      <c r="S264" s="255"/>
      <c r="T264" s="45"/>
      <c r="U264" s="45"/>
    </row>
    <row r="265" spans="1:21" ht="19.5" x14ac:dyDescent="0.3">
      <c r="A265" s="211" t="s">
        <v>113</v>
      </c>
      <c r="B265" s="212"/>
      <c r="C265" s="212"/>
      <c r="D265" s="213"/>
      <c r="E265" s="213"/>
      <c r="F265" s="213"/>
      <c r="G265" s="214"/>
      <c r="H265" s="214"/>
      <c r="I265" s="215"/>
      <c r="J265" s="215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217"/>
      <c r="B266" s="218" t="s">
        <v>114</v>
      </c>
      <c r="C266" s="219"/>
      <c r="D266" s="141"/>
      <c r="E266" s="141"/>
      <c r="F266" s="141"/>
      <c r="G266" s="142"/>
      <c r="H266" s="220" t="s">
        <v>35</v>
      </c>
      <c r="I266" s="221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6" s="221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22)</f>
        <v>22</v>
      </c>
      <c r="K266" s="222">
        <f ca="1">IF(I266&gt;0,J266*100/I266,0)</f>
        <v>7.1895424836601309</v>
      </c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</row>
    <row r="267" spans="1:21" ht="19.5" x14ac:dyDescent="0.3">
      <c r="A267" s="128"/>
      <c r="B267" s="40"/>
      <c r="C267" s="129" t="s">
        <v>18</v>
      </c>
      <c r="D267" s="130" t="s">
        <v>19</v>
      </c>
      <c r="E267" s="40"/>
      <c r="F267" s="40"/>
      <c r="G267" s="42"/>
      <c r="H267" s="131" t="s">
        <v>14</v>
      </c>
      <c r="I267" s="44"/>
      <c r="J267" s="44"/>
      <c r="K267" s="45"/>
      <c r="L267" s="132">
        <f t="shared" ref="L267:N267" ca="1" si="188">L268+L269</f>
        <v>0</v>
      </c>
      <c r="M267" s="132">
        <f t="shared" ca="1" si="188"/>
        <v>102190</v>
      </c>
      <c r="N267" s="132">
        <f t="shared" ca="1" si="188"/>
        <v>37310</v>
      </c>
      <c r="O267" s="132">
        <f t="shared" ref="O267:O275" ca="1" si="189">IF(L267&gt;0,N267*100/L267,0)</f>
        <v>0</v>
      </c>
      <c r="P267" s="132">
        <f t="shared" ref="P267:P275" ca="1" si="190">IF(M267&gt;0,N267*100/M267,0)</f>
        <v>36.510421763381935</v>
      </c>
      <c r="Q267" s="132">
        <f t="shared" ref="Q267:S267" ca="1" si="191">Q268+Q269</f>
        <v>706460</v>
      </c>
      <c r="R267" s="132">
        <f t="shared" ca="1" si="191"/>
        <v>706460</v>
      </c>
      <c r="S267" s="132">
        <f t="shared" ca="1" si="191"/>
        <v>30509</v>
      </c>
      <c r="T267" s="132">
        <f t="shared" ref="T267:T275" ca="1" si="192">IF(Q267&gt;0,S267*100/Q267,0)</f>
        <v>4.3185743000311412</v>
      </c>
      <c r="U267" s="132">
        <f t="shared" ref="U267:U275" ca="1" si="193">IF(R267&gt;0,S267*100/R267,0)</f>
        <v>4.3185743000311412</v>
      </c>
    </row>
    <row r="268" spans="1:21" ht="18.75" x14ac:dyDescent="0.25">
      <c r="A268" s="128"/>
      <c r="B268" s="40"/>
      <c r="C268" s="40"/>
      <c r="D268" s="40"/>
      <c r="E268" s="47" t="s">
        <v>20</v>
      </c>
      <c r="F268" s="40"/>
      <c r="G268" s="42"/>
      <c r="H268" s="133" t="s">
        <v>14</v>
      </c>
      <c r="I268" s="44"/>
      <c r="J268" s="44"/>
      <c r="K268" s="45"/>
      <c r="L268" s="46">
        <f t="shared" ref="L268:N268" ca="1" si="194">L271+L274</f>
        <v>0</v>
      </c>
      <c r="M268" s="46">
        <f t="shared" ca="1" si="194"/>
        <v>0</v>
      </c>
      <c r="N268" s="46">
        <f t="shared" ca="1" si="194"/>
        <v>0</v>
      </c>
      <c r="O268" s="46">
        <f t="shared" ca="1" si="189"/>
        <v>0</v>
      </c>
      <c r="P268" s="46">
        <f t="shared" ca="1" si="190"/>
        <v>0</v>
      </c>
      <c r="Q268" s="46">
        <f t="shared" ref="Q268:S268" ca="1" si="195">Q271+Q274</f>
        <v>0</v>
      </c>
      <c r="R268" s="46">
        <f t="shared" ca="1" si="195"/>
        <v>0</v>
      </c>
      <c r="S268" s="46">
        <f t="shared" ca="1" si="195"/>
        <v>0</v>
      </c>
      <c r="T268" s="48">
        <f t="shared" ca="1" si="192"/>
        <v>0</v>
      </c>
      <c r="U268" s="48">
        <f t="shared" ca="1" si="193"/>
        <v>0</v>
      </c>
    </row>
    <row r="269" spans="1:21" ht="18.75" x14ac:dyDescent="0.25">
      <c r="A269" s="128"/>
      <c r="B269" s="40"/>
      <c r="C269" s="40"/>
      <c r="D269" s="40"/>
      <c r="E269" s="47" t="s">
        <v>21</v>
      </c>
      <c r="F269" s="40"/>
      <c r="G269" s="42"/>
      <c r="H269" s="133" t="s">
        <v>14</v>
      </c>
      <c r="I269" s="44"/>
      <c r="J269" s="44"/>
      <c r="K269" s="45"/>
      <c r="L269" s="46">
        <f t="shared" ref="L269:N269" ca="1" si="196">L272+L275</f>
        <v>0</v>
      </c>
      <c r="M269" s="46">
        <f t="shared" ca="1" si="196"/>
        <v>102190</v>
      </c>
      <c r="N269" s="46">
        <f t="shared" ca="1" si="196"/>
        <v>37310</v>
      </c>
      <c r="O269" s="46">
        <f t="shared" ca="1" si="189"/>
        <v>0</v>
      </c>
      <c r="P269" s="46">
        <f t="shared" ca="1" si="190"/>
        <v>36.510421763381935</v>
      </c>
      <c r="Q269" s="46">
        <f t="shared" ref="Q269:S269" ca="1" si="197">Q272+Q275</f>
        <v>706460</v>
      </c>
      <c r="R269" s="46">
        <f t="shared" ca="1" si="197"/>
        <v>706460</v>
      </c>
      <c r="S269" s="46">
        <f t="shared" ca="1" si="197"/>
        <v>30509</v>
      </c>
      <c r="T269" s="46">
        <f t="shared" ca="1" si="192"/>
        <v>4.3185743000311412</v>
      </c>
      <c r="U269" s="46">
        <f t="shared" ca="1" si="193"/>
        <v>4.3185743000311412</v>
      </c>
    </row>
    <row r="270" spans="1:21" ht="18.75" x14ac:dyDescent="0.25">
      <c r="A270" s="128"/>
      <c r="B270" s="40"/>
      <c r="C270" s="40"/>
      <c r="D270" s="41" t="s">
        <v>22</v>
      </c>
      <c r="E270" s="40"/>
      <c r="F270" s="40"/>
      <c r="G270" s="42"/>
      <c r="H270" s="134" t="s">
        <v>14</v>
      </c>
      <c r="I270" s="135"/>
      <c r="J270" s="135"/>
      <c r="K270" s="136"/>
      <c r="L270" s="46">
        <f t="shared" ref="L270:N270" ca="1" si="198">L271+L272</f>
        <v>0</v>
      </c>
      <c r="M270" s="46">
        <f t="shared" ca="1" si="198"/>
        <v>102190</v>
      </c>
      <c r="N270" s="46">
        <f t="shared" ca="1" si="198"/>
        <v>37310</v>
      </c>
      <c r="O270" s="46">
        <f t="shared" ca="1" si="189"/>
        <v>0</v>
      </c>
      <c r="P270" s="46">
        <f t="shared" ca="1" si="190"/>
        <v>36.510421763381935</v>
      </c>
      <c r="Q270" s="46">
        <f t="shared" ref="Q270:S270" ca="1" si="199">Q271+Q272</f>
        <v>706460</v>
      </c>
      <c r="R270" s="46">
        <f t="shared" ca="1" si="199"/>
        <v>706460</v>
      </c>
      <c r="S270" s="46">
        <f t="shared" ca="1" si="199"/>
        <v>30509</v>
      </c>
      <c r="T270" s="46">
        <f t="shared" ca="1" si="192"/>
        <v>4.3185743000311412</v>
      </c>
      <c r="U270" s="46">
        <f t="shared" ca="1" si="193"/>
        <v>4.3185743000311412</v>
      </c>
    </row>
    <row r="271" spans="1:21" ht="18.75" x14ac:dyDescent="0.25">
      <c r="A271" s="128"/>
      <c r="B271" s="40"/>
      <c r="C271" s="40"/>
      <c r="D271" s="40"/>
      <c r="E271" s="47" t="s">
        <v>36</v>
      </c>
      <c r="F271" s="40"/>
      <c r="G271" s="42"/>
      <c r="H271" s="134" t="s">
        <v>14</v>
      </c>
      <c r="I271" s="135"/>
      <c r="J271" s="135"/>
      <c r="K271" s="136"/>
      <c r="L271" s="46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1" s="46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1" s="46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1" s="46">
        <f t="shared" ca="1" si="189"/>
        <v>0</v>
      </c>
      <c r="P271" s="46">
        <f t="shared" ca="1" si="190"/>
        <v>0</v>
      </c>
      <c r="Q271" s="46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1" s="46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1" s="46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1" s="48">
        <f t="shared" ca="1" si="192"/>
        <v>0</v>
      </c>
      <c r="U271" s="48">
        <f t="shared" ca="1" si="193"/>
        <v>0</v>
      </c>
    </row>
    <row r="272" spans="1:21" ht="18.75" x14ac:dyDescent="0.25">
      <c r="A272" s="128"/>
      <c r="B272" s="40"/>
      <c r="C272" s="40"/>
      <c r="D272" s="40"/>
      <c r="E272" s="47" t="s">
        <v>37</v>
      </c>
      <c r="F272" s="40"/>
      <c r="G272" s="42"/>
      <c r="H272" s="134" t="s">
        <v>14</v>
      </c>
      <c r="I272" s="135"/>
      <c r="J272" s="135"/>
      <c r="K272" s="136"/>
      <c r="L272" s="46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0)</f>
        <v>0</v>
      </c>
      <c r="M272" s="46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2" s="46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37310)</f>
        <v>37310</v>
      </c>
      <c r="O272" s="46">
        <f t="shared" ca="1" si="189"/>
        <v>0</v>
      </c>
      <c r="P272" s="46">
        <f t="shared" ca="1" si="190"/>
        <v>36.510421763381935</v>
      </c>
      <c r="Q272" s="46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2" s="46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2" s="46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30509)</f>
        <v>30509</v>
      </c>
      <c r="T272" s="46">
        <f t="shared" ca="1" si="192"/>
        <v>4.3185743000311412</v>
      </c>
      <c r="U272" s="46">
        <f t="shared" ca="1" si="193"/>
        <v>4.3185743000311412</v>
      </c>
    </row>
    <row r="273" spans="1:21" ht="18.75" x14ac:dyDescent="0.25">
      <c r="A273" s="128"/>
      <c r="B273" s="40"/>
      <c r="C273" s="40"/>
      <c r="D273" s="41" t="s">
        <v>23</v>
      </c>
      <c r="E273" s="40"/>
      <c r="F273" s="40"/>
      <c r="G273" s="42"/>
      <c r="H273" s="137" t="s">
        <v>14</v>
      </c>
      <c r="I273" s="135"/>
      <c r="J273" s="135"/>
      <c r="K273" s="136"/>
      <c r="L273" s="46">
        <f t="shared" ref="L273:N273" ca="1" si="200">L274+L275</f>
        <v>0</v>
      </c>
      <c r="M273" s="46">
        <f t="shared" ca="1" si="200"/>
        <v>0</v>
      </c>
      <c r="N273" s="46">
        <f t="shared" ca="1" si="200"/>
        <v>0</v>
      </c>
      <c r="O273" s="46">
        <f t="shared" ca="1" si="189"/>
        <v>0</v>
      </c>
      <c r="P273" s="46">
        <f t="shared" ca="1" si="190"/>
        <v>0</v>
      </c>
      <c r="Q273" s="46">
        <f t="shared" ref="Q273:S273" ca="1" si="201">Q274+Q275</f>
        <v>0</v>
      </c>
      <c r="R273" s="46">
        <f t="shared" ca="1" si="201"/>
        <v>0</v>
      </c>
      <c r="S273" s="46">
        <f t="shared" ca="1" si="201"/>
        <v>0</v>
      </c>
      <c r="T273" s="46">
        <f t="shared" ca="1" si="192"/>
        <v>0</v>
      </c>
      <c r="U273" s="46">
        <f t="shared" ca="1" si="193"/>
        <v>0</v>
      </c>
    </row>
    <row r="274" spans="1:21" ht="18.75" x14ac:dyDescent="0.25">
      <c r="A274" s="128"/>
      <c r="B274" s="40"/>
      <c r="C274" s="40"/>
      <c r="D274" s="40"/>
      <c r="E274" s="47" t="s">
        <v>20</v>
      </c>
      <c r="F274" s="40"/>
      <c r="G274" s="42"/>
      <c r="H274" s="134" t="s">
        <v>14</v>
      </c>
      <c r="I274" s="135"/>
      <c r="J274" s="135"/>
      <c r="K274" s="136"/>
      <c r="L274" s="46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4" s="46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4" s="46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4" s="46">
        <f t="shared" ca="1" si="189"/>
        <v>0</v>
      </c>
      <c r="P274" s="46">
        <f t="shared" ca="1" si="190"/>
        <v>0</v>
      </c>
      <c r="Q274" s="46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4" s="46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4" s="46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4" s="48">
        <f t="shared" ca="1" si="192"/>
        <v>0</v>
      </c>
      <c r="U274" s="48">
        <f t="shared" ca="1" si="193"/>
        <v>0</v>
      </c>
    </row>
    <row r="275" spans="1:21" ht="18.75" x14ac:dyDescent="0.25">
      <c r="A275" s="128"/>
      <c r="B275" s="40"/>
      <c r="C275" s="40"/>
      <c r="D275" s="40"/>
      <c r="E275" s="47" t="s">
        <v>21</v>
      </c>
      <c r="F275" s="40"/>
      <c r="G275" s="42"/>
      <c r="H275" s="137" t="s">
        <v>14</v>
      </c>
      <c r="I275" s="135"/>
      <c r="J275" s="135"/>
      <c r="K275" s="136"/>
      <c r="L275" s="46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5" s="46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5" s="46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5" s="46">
        <f t="shared" ca="1" si="189"/>
        <v>0</v>
      </c>
      <c r="P275" s="46">
        <f t="shared" ca="1" si="190"/>
        <v>0</v>
      </c>
      <c r="Q275" s="46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5" s="46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5" s="46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5" s="46">
        <f t="shared" ca="1" si="192"/>
        <v>0</v>
      </c>
      <c r="U275" s="46">
        <f t="shared" ca="1" si="193"/>
        <v>0</v>
      </c>
    </row>
    <row r="276" spans="1:21" ht="19.5" x14ac:dyDescent="0.3">
      <c r="A276" s="138"/>
      <c r="B276" s="139"/>
      <c r="C276" s="270" t="s">
        <v>18</v>
      </c>
      <c r="D276" s="140" t="s">
        <v>38</v>
      </c>
      <c r="E276" s="141"/>
      <c r="F276" s="141"/>
      <c r="G276" s="142"/>
      <c r="H276" s="143"/>
      <c r="I276" s="135"/>
      <c r="J276" s="135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</row>
    <row r="277" spans="1:21" ht="18.75" x14ac:dyDescent="0.25">
      <c r="A277" s="271"/>
      <c r="B277" s="159"/>
      <c r="C277" s="159"/>
      <c r="D277" s="272" t="s">
        <v>115</v>
      </c>
      <c r="E277" s="40"/>
      <c r="F277" s="40"/>
      <c r="G277" s="42"/>
      <c r="H277" s="133" t="s">
        <v>35</v>
      </c>
      <c r="I277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7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22)</f>
        <v>22</v>
      </c>
      <c r="K277" s="46">
        <f ca="1">IF(I277&gt;0,J277*100/I277,0)</f>
        <v>7.1895424836601309</v>
      </c>
      <c r="L277" s="45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x14ac:dyDescent="0.25">
      <c r="A278" s="273"/>
      <c r="B278" s="274"/>
      <c r="C278" s="274"/>
      <c r="D278" s="275" t="s">
        <v>116</v>
      </c>
      <c r="E278" s="276"/>
      <c r="F278" s="276"/>
      <c r="G278" s="277"/>
      <c r="H278" s="53" t="s">
        <v>35</v>
      </c>
      <c r="I278" s="204">
        <v>0</v>
      </c>
      <c r="J278" s="204">
        <v>0</v>
      </c>
      <c r="K278" s="278">
        <v>0</v>
      </c>
      <c r="L278" s="279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202">I294</f>
        <v>10</v>
      </c>
      <c r="J281" s="298">
        <f t="shared" ca="1" si="202"/>
        <v>10</v>
      </c>
      <c r="K281" s="299">
        <f t="shared" ref="K281:K282" ca="1" si="203">IF(I281&gt;0,J281*100/I281,0)</f>
        <v>100</v>
      </c>
      <c r="L281" s="300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204">I293</f>
        <v>100</v>
      </c>
      <c r="J282" s="298">
        <f t="shared" ca="1" si="204"/>
        <v>100</v>
      </c>
      <c r="K282" s="299">
        <f t="shared" ca="1" si="203"/>
        <v>100</v>
      </c>
      <c r="L282" s="300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x14ac:dyDescent="0.3">
      <c r="A283" s="128"/>
      <c r="B283" s="40"/>
      <c r="C283" s="129" t="s">
        <v>18</v>
      </c>
      <c r="D283" s="130" t="s">
        <v>19</v>
      </c>
      <c r="E283" s="40"/>
      <c r="F283" s="40"/>
      <c r="G283" s="42"/>
      <c r="H283" s="131" t="s">
        <v>14</v>
      </c>
      <c r="I283" s="44"/>
      <c r="J283" s="44"/>
      <c r="K283" s="45"/>
      <c r="L283" s="132">
        <f t="shared" ref="L283:N283" ca="1" si="205">L284+L285</f>
        <v>292520</v>
      </c>
      <c r="M283" s="132">
        <f t="shared" ca="1" si="205"/>
        <v>292520</v>
      </c>
      <c r="N283" s="132">
        <f t="shared" ca="1" si="205"/>
        <v>261304.83</v>
      </c>
      <c r="O283" s="132">
        <f t="shared" ref="O283:O291" ca="1" si="206">IF(L283&gt;0,N283*100/L283,0)</f>
        <v>89.328876658006294</v>
      </c>
      <c r="P283" s="132">
        <f t="shared" ref="P283:P291" ca="1" si="207">IF(M283&gt;0,N283*100/M283,0)</f>
        <v>89.328876658006294</v>
      </c>
      <c r="Q283" s="132">
        <f t="shared" ref="Q283:S283" ca="1" si="208">Q284+Q285</f>
        <v>0</v>
      </c>
      <c r="R283" s="132">
        <f t="shared" ca="1" si="208"/>
        <v>0</v>
      </c>
      <c r="S283" s="132">
        <f t="shared" ca="1" si="208"/>
        <v>0</v>
      </c>
      <c r="T283" s="132">
        <f t="shared" ref="T283:T291" ca="1" si="209">IF(Q283&gt;0,S283*100/Q283,0)</f>
        <v>0</v>
      </c>
      <c r="U283" s="132">
        <f t="shared" ref="U283:U291" ca="1" si="210">IF(R283&gt;0,S283*100/R283,0)</f>
        <v>0</v>
      </c>
    </row>
    <row r="284" spans="1:21" ht="18.75" x14ac:dyDescent="0.25">
      <c r="A284" s="128"/>
      <c r="B284" s="40"/>
      <c r="C284" s="40"/>
      <c r="D284" s="40"/>
      <c r="E284" s="47" t="s">
        <v>20</v>
      </c>
      <c r="F284" s="40"/>
      <c r="G284" s="42"/>
      <c r="H284" s="133" t="s">
        <v>14</v>
      </c>
      <c r="I284" s="44"/>
      <c r="J284" s="44"/>
      <c r="K284" s="45"/>
      <c r="L284" s="46">
        <f t="shared" ref="L284:N284" ca="1" si="211">L287+L290</f>
        <v>0</v>
      </c>
      <c r="M284" s="46">
        <f t="shared" ca="1" si="211"/>
        <v>0</v>
      </c>
      <c r="N284" s="46">
        <f t="shared" ca="1" si="211"/>
        <v>0</v>
      </c>
      <c r="O284" s="46">
        <f t="shared" ca="1" si="206"/>
        <v>0</v>
      </c>
      <c r="P284" s="46">
        <f t="shared" ca="1" si="207"/>
        <v>0</v>
      </c>
      <c r="Q284" s="46">
        <f t="shared" ref="Q284:S284" ca="1" si="212">Q287+Q290</f>
        <v>0</v>
      </c>
      <c r="R284" s="46">
        <f t="shared" ca="1" si="212"/>
        <v>0</v>
      </c>
      <c r="S284" s="46">
        <f t="shared" ca="1" si="212"/>
        <v>0</v>
      </c>
      <c r="T284" s="48">
        <f t="shared" ca="1" si="209"/>
        <v>0</v>
      </c>
      <c r="U284" s="48">
        <f t="shared" ca="1" si="210"/>
        <v>0</v>
      </c>
    </row>
    <row r="285" spans="1:21" ht="18.75" x14ac:dyDescent="0.25">
      <c r="A285" s="128"/>
      <c r="B285" s="40"/>
      <c r="C285" s="40"/>
      <c r="D285" s="40"/>
      <c r="E285" s="47" t="s">
        <v>21</v>
      </c>
      <c r="F285" s="40"/>
      <c r="G285" s="42"/>
      <c r="H285" s="133" t="s">
        <v>14</v>
      </c>
      <c r="I285" s="44"/>
      <c r="J285" s="44"/>
      <c r="K285" s="45"/>
      <c r="L285" s="46">
        <f t="shared" ref="L285:N285" ca="1" si="213">L288+L291</f>
        <v>292520</v>
      </c>
      <c r="M285" s="46">
        <f t="shared" ca="1" si="213"/>
        <v>292520</v>
      </c>
      <c r="N285" s="46">
        <f t="shared" ca="1" si="213"/>
        <v>261304.83</v>
      </c>
      <c r="O285" s="46">
        <f t="shared" ca="1" si="206"/>
        <v>89.328876658006294</v>
      </c>
      <c r="P285" s="46">
        <f t="shared" ca="1" si="207"/>
        <v>89.328876658006294</v>
      </c>
      <c r="Q285" s="46">
        <f t="shared" ref="Q285:S285" ca="1" si="214">Q288+Q291</f>
        <v>0</v>
      </c>
      <c r="R285" s="46">
        <f t="shared" ca="1" si="214"/>
        <v>0</v>
      </c>
      <c r="S285" s="46">
        <f t="shared" ca="1" si="214"/>
        <v>0</v>
      </c>
      <c r="T285" s="46">
        <f t="shared" ca="1" si="209"/>
        <v>0</v>
      </c>
      <c r="U285" s="46">
        <f t="shared" ca="1" si="210"/>
        <v>0</v>
      </c>
    </row>
    <row r="286" spans="1:21" ht="18.75" x14ac:dyDescent="0.25">
      <c r="A286" s="128"/>
      <c r="B286" s="40"/>
      <c r="C286" s="40"/>
      <c r="D286" s="41" t="s">
        <v>22</v>
      </c>
      <c r="E286" s="40"/>
      <c r="F286" s="40"/>
      <c r="G286" s="42"/>
      <c r="H286" s="134" t="s">
        <v>14</v>
      </c>
      <c r="I286" s="135"/>
      <c r="J286" s="135"/>
      <c r="K286" s="136"/>
      <c r="L286" s="46">
        <f t="shared" ref="L286:N286" ca="1" si="215">L287+L288</f>
        <v>292520</v>
      </c>
      <c r="M286" s="46">
        <f t="shared" ca="1" si="215"/>
        <v>292520</v>
      </c>
      <c r="N286" s="46">
        <f t="shared" ca="1" si="215"/>
        <v>261304.83</v>
      </c>
      <c r="O286" s="46">
        <f t="shared" ca="1" si="206"/>
        <v>89.328876658006294</v>
      </c>
      <c r="P286" s="46">
        <f t="shared" ca="1" si="207"/>
        <v>89.328876658006294</v>
      </c>
      <c r="Q286" s="46">
        <f t="shared" ref="Q286:S286" ca="1" si="216">Q287+Q288</f>
        <v>0</v>
      </c>
      <c r="R286" s="46">
        <f t="shared" ca="1" si="216"/>
        <v>0</v>
      </c>
      <c r="S286" s="46">
        <f t="shared" ca="1" si="216"/>
        <v>0</v>
      </c>
      <c r="T286" s="46">
        <f t="shared" ca="1" si="209"/>
        <v>0</v>
      </c>
      <c r="U286" s="46">
        <f t="shared" ca="1" si="210"/>
        <v>0</v>
      </c>
    </row>
    <row r="287" spans="1:21" ht="18.75" x14ac:dyDescent="0.25">
      <c r="A287" s="128"/>
      <c r="B287" s="40"/>
      <c r="C287" s="40"/>
      <c r="D287" s="40"/>
      <c r="E287" s="47" t="s">
        <v>36</v>
      </c>
      <c r="F287" s="40"/>
      <c r="G287" s="42"/>
      <c r="H287" s="134" t="s">
        <v>14</v>
      </c>
      <c r="I287" s="135"/>
      <c r="J287" s="135"/>
      <c r="K287" s="136"/>
      <c r="L287" s="46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7" s="46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7" s="46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7" s="46">
        <f t="shared" ca="1" si="206"/>
        <v>0</v>
      </c>
      <c r="P287" s="46">
        <f t="shared" ca="1" si="207"/>
        <v>0</v>
      </c>
      <c r="Q287" s="46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7" s="46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7" s="46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7" s="48">
        <f t="shared" ca="1" si="209"/>
        <v>0</v>
      </c>
      <c r="U287" s="48">
        <f t="shared" ca="1" si="210"/>
        <v>0</v>
      </c>
    </row>
    <row r="288" spans="1:21" ht="18.75" x14ac:dyDescent="0.25">
      <c r="A288" s="128"/>
      <c r="B288" s="40"/>
      <c r="C288" s="40"/>
      <c r="D288" s="40"/>
      <c r="E288" s="47" t="s">
        <v>37</v>
      </c>
      <c r="F288" s="40"/>
      <c r="G288" s="42"/>
      <c r="H288" s="134" t="s">
        <v>14</v>
      </c>
      <c r="I288" s="135"/>
      <c r="J288" s="135"/>
      <c r="K288" s="136"/>
      <c r="L288" s="46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292520)</f>
        <v>292520</v>
      </c>
      <c r="M288" s="46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292520)</f>
        <v>292520</v>
      </c>
      <c r="N288" s="46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261304.83)</f>
        <v>261304.83</v>
      </c>
      <c r="O288" s="46">
        <f t="shared" ca="1" si="206"/>
        <v>89.328876658006294</v>
      </c>
      <c r="P288" s="46">
        <f t="shared" ca="1" si="207"/>
        <v>89.328876658006294</v>
      </c>
      <c r="Q288" s="46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8" s="46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8" s="46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8" s="48">
        <f t="shared" ca="1" si="209"/>
        <v>0</v>
      </c>
      <c r="U288" s="48">
        <f t="shared" ca="1" si="210"/>
        <v>0</v>
      </c>
    </row>
    <row r="289" spans="1:21" ht="18.75" x14ac:dyDescent="0.25">
      <c r="A289" s="128"/>
      <c r="B289" s="40"/>
      <c r="C289" s="40"/>
      <c r="D289" s="41" t="s">
        <v>23</v>
      </c>
      <c r="E289" s="40"/>
      <c r="F289" s="40"/>
      <c r="G289" s="42"/>
      <c r="H289" s="137" t="s">
        <v>14</v>
      </c>
      <c r="I289" s="135"/>
      <c r="J289" s="135"/>
      <c r="K289" s="136"/>
      <c r="L289" s="46">
        <f t="shared" ref="L289:N289" ca="1" si="217">L290+L291</f>
        <v>0</v>
      </c>
      <c r="M289" s="46">
        <f t="shared" ca="1" si="217"/>
        <v>0</v>
      </c>
      <c r="N289" s="46">
        <f t="shared" ca="1" si="217"/>
        <v>0</v>
      </c>
      <c r="O289" s="46">
        <f t="shared" ca="1" si="206"/>
        <v>0</v>
      </c>
      <c r="P289" s="46">
        <f t="shared" ca="1" si="207"/>
        <v>0</v>
      </c>
      <c r="Q289" s="46">
        <f t="shared" ref="Q289:S289" ca="1" si="218">Q290+Q291</f>
        <v>0</v>
      </c>
      <c r="R289" s="46">
        <f t="shared" ca="1" si="218"/>
        <v>0</v>
      </c>
      <c r="S289" s="46">
        <f t="shared" ca="1" si="218"/>
        <v>0</v>
      </c>
      <c r="T289" s="46">
        <f t="shared" ca="1" si="209"/>
        <v>0</v>
      </c>
      <c r="U289" s="46">
        <f t="shared" ca="1" si="210"/>
        <v>0</v>
      </c>
    </row>
    <row r="290" spans="1:21" ht="18.75" x14ac:dyDescent="0.25">
      <c r="A290" s="128"/>
      <c r="B290" s="40"/>
      <c r="C290" s="40"/>
      <c r="D290" s="40"/>
      <c r="E290" s="47" t="s">
        <v>20</v>
      </c>
      <c r="F290" s="40"/>
      <c r="G290" s="42"/>
      <c r="H290" s="134" t="s">
        <v>14</v>
      </c>
      <c r="I290" s="135"/>
      <c r="J290" s="135"/>
      <c r="K290" s="136"/>
      <c r="L290" s="46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90" s="46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90" s="46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90" s="46">
        <f t="shared" ca="1" si="206"/>
        <v>0</v>
      </c>
      <c r="P290" s="46">
        <f t="shared" ca="1" si="207"/>
        <v>0</v>
      </c>
      <c r="Q290" s="46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90" s="46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90" s="46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90" s="48">
        <f t="shared" ca="1" si="209"/>
        <v>0</v>
      </c>
      <c r="U290" s="48">
        <f t="shared" ca="1" si="210"/>
        <v>0</v>
      </c>
    </row>
    <row r="291" spans="1:21" ht="18.75" x14ac:dyDescent="0.25">
      <c r="A291" s="128"/>
      <c r="B291" s="40"/>
      <c r="C291" s="40"/>
      <c r="D291" s="40"/>
      <c r="E291" s="47" t="s">
        <v>21</v>
      </c>
      <c r="F291" s="40"/>
      <c r="G291" s="42"/>
      <c r="H291" s="137" t="s">
        <v>14</v>
      </c>
      <c r="I291" s="135"/>
      <c r="J291" s="135"/>
      <c r="K291" s="136"/>
      <c r="L291" s="46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1" s="46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1" s="46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1" s="46">
        <f t="shared" ca="1" si="206"/>
        <v>0</v>
      </c>
      <c r="P291" s="46">
        <f t="shared" ca="1" si="207"/>
        <v>0</v>
      </c>
      <c r="Q291" s="46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1" s="46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1" s="46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1" s="46">
        <f t="shared" ca="1" si="209"/>
        <v>0</v>
      </c>
      <c r="U291" s="46">
        <f t="shared" ca="1" si="210"/>
        <v>0</v>
      </c>
    </row>
    <row r="292" spans="1:21" ht="19.5" x14ac:dyDescent="0.3">
      <c r="A292" s="138"/>
      <c r="B292" s="139"/>
      <c r="C292" s="129" t="s">
        <v>18</v>
      </c>
      <c r="D292" s="140" t="s">
        <v>38</v>
      </c>
      <c r="E292" s="141"/>
      <c r="F292" s="141"/>
      <c r="G292" s="142"/>
      <c r="H292" s="143"/>
      <c r="I292" s="135"/>
      <c r="J292" s="135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7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3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3" s="153">
        <f t="shared" ref="K293:K294" ca="1" si="219">IF(I293&gt;0,J293*100/I293,0)</f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4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4" s="148">
        <f t="shared" ca="1" si="219"/>
        <v>100</v>
      </c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301" t="s">
        <v>122</v>
      </c>
      <c r="F295" s="145"/>
      <c r="G295" s="143"/>
      <c r="H295" s="143"/>
      <c r="I295" s="135"/>
      <c r="J295" s="44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67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6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6" s="153">
        <f t="shared" ref="K296:K297" ca="1" si="220">IF(I296&gt;0,J296*100/I296,0)</f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7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7" s="153">
        <f t="shared" ca="1" si="220"/>
        <v>100</v>
      </c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315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221">I315</f>
        <v>235</v>
      </c>
      <c r="J303" s="321">
        <f t="shared" ca="1" si="221"/>
        <v>0</v>
      </c>
      <c r="K303" s="322">
        <f ca="1">IF(I303&gt;0,J303*100/I303,0)</f>
        <v>0</v>
      </c>
      <c r="L303" s="323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40"/>
      <c r="C304" s="129" t="s">
        <v>18</v>
      </c>
      <c r="D304" s="130" t="s">
        <v>19</v>
      </c>
      <c r="E304" s="40"/>
      <c r="F304" s="40"/>
      <c r="G304" s="42"/>
      <c r="H304" s="131" t="s">
        <v>14</v>
      </c>
      <c r="I304" s="44"/>
      <c r="J304" s="44"/>
      <c r="K304" s="45"/>
      <c r="L304" s="132">
        <f t="shared" ref="L304:N304" ca="1" si="222">L305+L306</f>
        <v>299500</v>
      </c>
      <c r="M304" s="132">
        <f t="shared" ca="1" si="222"/>
        <v>299500</v>
      </c>
      <c r="N304" s="132">
        <f t="shared" ca="1" si="222"/>
        <v>222204.98</v>
      </c>
      <c r="O304" s="132">
        <f t="shared" ref="O304:O312" ca="1" si="223">IF(L304&gt;0,N304*100/L304,0)</f>
        <v>74.191979966611015</v>
      </c>
      <c r="P304" s="132">
        <f t="shared" ref="P304:P312" ca="1" si="224">IF(M304&gt;0,N304*100/M304,0)</f>
        <v>74.191979966611015</v>
      </c>
      <c r="Q304" s="132">
        <f t="shared" ref="Q304:S304" ca="1" si="225">Q305+Q306</f>
        <v>2086950.07</v>
      </c>
      <c r="R304" s="132">
        <f t="shared" ca="1" si="225"/>
        <v>2086948</v>
      </c>
      <c r="S304" s="132">
        <f t="shared" ca="1" si="225"/>
        <v>14070</v>
      </c>
      <c r="T304" s="132">
        <f t="shared" ref="T304:T312" ca="1" si="226">IF(Q304&gt;0,S304*100/Q304,0)</f>
        <v>0.67418958422900843</v>
      </c>
      <c r="U304" s="132">
        <f t="shared" ref="U304:U312" ca="1" si="227">IF(R304&gt;0,S304*100/R304,0)</f>
        <v>0.67419025294353285</v>
      </c>
    </row>
    <row r="305" spans="1:21" ht="18.75" x14ac:dyDescent="0.25">
      <c r="A305" s="128"/>
      <c r="B305" s="40"/>
      <c r="C305" s="40"/>
      <c r="D305" s="40"/>
      <c r="E305" s="47" t="s">
        <v>20</v>
      </c>
      <c r="F305" s="40"/>
      <c r="G305" s="42"/>
      <c r="H305" s="133" t="s">
        <v>14</v>
      </c>
      <c r="I305" s="44"/>
      <c r="J305" s="44"/>
      <c r="K305" s="45"/>
      <c r="L305" s="46">
        <f t="shared" ref="L305:N305" ca="1" si="228">L308+L311</f>
        <v>0</v>
      </c>
      <c r="M305" s="46">
        <f t="shared" ca="1" si="228"/>
        <v>0</v>
      </c>
      <c r="N305" s="46">
        <f t="shared" ca="1" si="228"/>
        <v>0</v>
      </c>
      <c r="O305" s="46">
        <f t="shared" ca="1" si="223"/>
        <v>0</v>
      </c>
      <c r="P305" s="46">
        <f t="shared" ca="1" si="224"/>
        <v>0</v>
      </c>
      <c r="Q305" s="46">
        <f t="shared" ref="Q305:S305" ca="1" si="229">Q308+Q311</f>
        <v>0</v>
      </c>
      <c r="R305" s="46">
        <f t="shared" ca="1" si="229"/>
        <v>0</v>
      </c>
      <c r="S305" s="46">
        <f t="shared" ca="1" si="229"/>
        <v>0</v>
      </c>
      <c r="T305" s="48">
        <f t="shared" ca="1" si="226"/>
        <v>0</v>
      </c>
      <c r="U305" s="48">
        <f t="shared" ca="1" si="227"/>
        <v>0</v>
      </c>
    </row>
    <row r="306" spans="1:21" ht="18.75" x14ac:dyDescent="0.25">
      <c r="A306" s="128"/>
      <c r="B306" s="40"/>
      <c r="C306" s="40"/>
      <c r="D306" s="40"/>
      <c r="E306" s="47" t="s">
        <v>21</v>
      </c>
      <c r="F306" s="40"/>
      <c r="G306" s="42"/>
      <c r="H306" s="133" t="s">
        <v>14</v>
      </c>
      <c r="I306" s="44"/>
      <c r="J306" s="44"/>
      <c r="K306" s="45"/>
      <c r="L306" s="46">
        <f t="shared" ref="L306:N306" ca="1" si="230">L309+L312</f>
        <v>299500</v>
      </c>
      <c r="M306" s="46">
        <f t="shared" ca="1" si="230"/>
        <v>299500</v>
      </c>
      <c r="N306" s="46">
        <f t="shared" ca="1" si="230"/>
        <v>222204.98</v>
      </c>
      <c r="O306" s="46">
        <f t="shared" ca="1" si="223"/>
        <v>74.191979966611015</v>
      </c>
      <c r="P306" s="46">
        <f t="shared" ca="1" si="224"/>
        <v>74.191979966611015</v>
      </c>
      <c r="Q306" s="46">
        <f t="shared" ref="Q306:S306" ca="1" si="231">Q309+Q312</f>
        <v>2086950.07</v>
      </c>
      <c r="R306" s="46">
        <f t="shared" ca="1" si="231"/>
        <v>2086948</v>
      </c>
      <c r="S306" s="46">
        <f t="shared" ca="1" si="231"/>
        <v>14070</v>
      </c>
      <c r="T306" s="46">
        <f t="shared" ca="1" si="226"/>
        <v>0.67418958422900843</v>
      </c>
      <c r="U306" s="46">
        <f t="shared" ca="1" si="227"/>
        <v>0.67419025294353285</v>
      </c>
    </row>
    <row r="307" spans="1:21" ht="18.75" x14ac:dyDescent="0.25">
      <c r="A307" s="128"/>
      <c r="B307" s="40"/>
      <c r="C307" s="40"/>
      <c r="D307" s="41" t="s">
        <v>22</v>
      </c>
      <c r="E307" s="40"/>
      <c r="F307" s="40"/>
      <c r="G307" s="42"/>
      <c r="H307" s="134" t="s">
        <v>14</v>
      </c>
      <c r="I307" s="135"/>
      <c r="J307" s="135"/>
      <c r="K307" s="136"/>
      <c r="L307" s="46">
        <f t="shared" ref="L307:N307" ca="1" si="232">L308+L309</f>
        <v>299500</v>
      </c>
      <c r="M307" s="46">
        <f t="shared" ca="1" si="232"/>
        <v>299500</v>
      </c>
      <c r="N307" s="46">
        <f t="shared" ca="1" si="232"/>
        <v>222204.98</v>
      </c>
      <c r="O307" s="46">
        <f t="shared" ca="1" si="223"/>
        <v>74.191979966611015</v>
      </c>
      <c r="P307" s="46">
        <f t="shared" ca="1" si="224"/>
        <v>74.191979966611015</v>
      </c>
      <c r="Q307" s="46">
        <f t="shared" ref="Q307:S307" ca="1" si="233">Q308+Q309</f>
        <v>2086950.07</v>
      </c>
      <c r="R307" s="46">
        <f t="shared" ca="1" si="233"/>
        <v>2086948</v>
      </c>
      <c r="S307" s="46">
        <f t="shared" ca="1" si="233"/>
        <v>14070</v>
      </c>
      <c r="T307" s="46">
        <f t="shared" ca="1" si="226"/>
        <v>0.67418958422900843</v>
      </c>
      <c r="U307" s="46">
        <f t="shared" ca="1" si="227"/>
        <v>0.67419025294353285</v>
      </c>
    </row>
    <row r="308" spans="1:21" ht="18.75" x14ac:dyDescent="0.25">
      <c r="A308" s="128"/>
      <c r="B308" s="40"/>
      <c r="C308" s="40"/>
      <c r="D308" s="40"/>
      <c r="E308" s="47" t="s">
        <v>36</v>
      </c>
      <c r="F308" s="40"/>
      <c r="G308" s="42"/>
      <c r="H308" s="134" t="s">
        <v>14</v>
      </c>
      <c r="I308" s="135"/>
      <c r="J308" s="135"/>
      <c r="K308" s="136"/>
      <c r="L308" s="46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8" s="46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8" s="46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8" s="46">
        <f t="shared" ca="1" si="223"/>
        <v>0</v>
      </c>
      <c r="P308" s="46">
        <f t="shared" ca="1" si="224"/>
        <v>0</v>
      </c>
      <c r="Q308" s="46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8" s="46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8" s="46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8" s="48">
        <f t="shared" ca="1" si="226"/>
        <v>0</v>
      </c>
      <c r="U308" s="48">
        <f t="shared" ca="1" si="227"/>
        <v>0</v>
      </c>
    </row>
    <row r="309" spans="1:21" ht="18.75" x14ac:dyDescent="0.25">
      <c r="A309" s="128"/>
      <c r="B309" s="40"/>
      <c r="C309" s="40"/>
      <c r="D309" s="40"/>
      <c r="E309" s="47" t="s">
        <v>37</v>
      </c>
      <c r="F309" s="40"/>
      <c r="G309" s="42"/>
      <c r="H309" s="134" t="s">
        <v>14</v>
      </c>
      <c r="I309" s="135"/>
      <c r="J309" s="135"/>
      <c r="K309" s="136"/>
      <c r="L309" s="46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299500)</f>
        <v>299500</v>
      </c>
      <c r="M309" s="46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299500)</f>
        <v>299500</v>
      </c>
      <c r="N309" s="46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222204.98)</f>
        <v>222204.98</v>
      </c>
      <c r="O309" s="46">
        <f t="shared" ca="1" si="223"/>
        <v>74.191979966611015</v>
      </c>
      <c r="P309" s="46">
        <f t="shared" ca="1" si="224"/>
        <v>74.191979966611015</v>
      </c>
      <c r="Q309" s="46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9" s="46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9" s="46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14070)</f>
        <v>14070</v>
      </c>
      <c r="T309" s="46">
        <f t="shared" ca="1" si="226"/>
        <v>0.67418958422900843</v>
      </c>
      <c r="U309" s="46">
        <f t="shared" ca="1" si="227"/>
        <v>0.67419025294353285</v>
      </c>
    </row>
    <row r="310" spans="1:21" ht="18.75" x14ac:dyDescent="0.25">
      <c r="A310" s="128"/>
      <c r="B310" s="40"/>
      <c r="C310" s="40"/>
      <c r="D310" s="41" t="s">
        <v>23</v>
      </c>
      <c r="E310" s="40"/>
      <c r="F310" s="40"/>
      <c r="G310" s="42"/>
      <c r="H310" s="137" t="s">
        <v>14</v>
      </c>
      <c r="I310" s="135"/>
      <c r="J310" s="135"/>
      <c r="K310" s="136"/>
      <c r="L310" s="46">
        <f t="shared" ref="L310:N310" ca="1" si="234">L311+L312</f>
        <v>0</v>
      </c>
      <c r="M310" s="46">
        <f t="shared" ca="1" si="234"/>
        <v>0</v>
      </c>
      <c r="N310" s="46">
        <f t="shared" ca="1" si="234"/>
        <v>0</v>
      </c>
      <c r="O310" s="46">
        <f t="shared" ca="1" si="223"/>
        <v>0</v>
      </c>
      <c r="P310" s="46">
        <f t="shared" ca="1" si="224"/>
        <v>0</v>
      </c>
      <c r="Q310" s="46">
        <f t="shared" ref="Q310:S310" ca="1" si="235">Q311+Q312</f>
        <v>0</v>
      </c>
      <c r="R310" s="46">
        <f t="shared" ca="1" si="235"/>
        <v>0</v>
      </c>
      <c r="S310" s="46">
        <f t="shared" ca="1" si="235"/>
        <v>0</v>
      </c>
      <c r="T310" s="46">
        <f t="shared" ca="1" si="226"/>
        <v>0</v>
      </c>
      <c r="U310" s="46">
        <f t="shared" ca="1" si="227"/>
        <v>0</v>
      </c>
    </row>
    <row r="311" spans="1:21" ht="18.75" x14ac:dyDescent="0.25">
      <c r="A311" s="128"/>
      <c r="B311" s="40"/>
      <c r="C311" s="40"/>
      <c r="D311" s="40"/>
      <c r="E311" s="47" t="s">
        <v>20</v>
      </c>
      <c r="F311" s="40"/>
      <c r="G311" s="42"/>
      <c r="H311" s="134" t="s">
        <v>14</v>
      </c>
      <c r="I311" s="135"/>
      <c r="J311" s="135"/>
      <c r="K311" s="136"/>
      <c r="L311" s="46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1" s="46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1" s="46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1" s="46">
        <f t="shared" ca="1" si="223"/>
        <v>0</v>
      </c>
      <c r="P311" s="46">
        <f t="shared" ca="1" si="224"/>
        <v>0</v>
      </c>
      <c r="Q311" s="46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1" s="46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1" s="46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1" s="48">
        <f t="shared" ca="1" si="226"/>
        <v>0</v>
      </c>
      <c r="U311" s="48">
        <f t="shared" ca="1" si="227"/>
        <v>0</v>
      </c>
    </row>
    <row r="312" spans="1:21" ht="18.75" x14ac:dyDescent="0.25">
      <c r="A312" s="128"/>
      <c r="B312" s="40"/>
      <c r="C312" s="40"/>
      <c r="D312" s="40"/>
      <c r="E312" s="47" t="s">
        <v>21</v>
      </c>
      <c r="F312" s="40"/>
      <c r="G312" s="42"/>
      <c r="H312" s="137" t="s">
        <v>14</v>
      </c>
      <c r="I312" s="135"/>
      <c r="J312" s="135"/>
      <c r="K312" s="136"/>
      <c r="L312" s="46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2" s="46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2" s="46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2" s="46">
        <f t="shared" ca="1" si="223"/>
        <v>0</v>
      </c>
      <c r="P312" s="46">
        <f t="shared" ca="1" si="224"/>
        <v>0</v>
      </c>
      <c r="Q312" s="46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2" s="46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2" s="46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2" s="46">
        <f t="shared" ca="1" si="226"/>
        <v>0</v>
      </c>
      <c r="U312" s="46">
        <f t="shared" ca="1" si="227"/>
        <v>0</v>
      </c>
    </row>
    <row r="313" spans="1:21" ht="19.5" x14ac:dyDescent="0.3">
      <c r="A313" s="138"/>
      <c r="B313" s="139"/>
      <c r="C313" s="129" t="s">
        <v>18</v>
      </c>
      <c r="D313" s="140" t="s">
        <v>38</v>
      </c>
      <c r="E313" s="141"/>
      <c r="F313" s="141"/>
      <c r="G313" s="142"/>
      <c r="H313" s="143"/>
      <c r="I313" s="44"/>
      <c r="J313" s="44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x14ac:dyDescent="0.25">
      <c r="A314" s="138"/>
      <c r="B314" s="139"/>
      <c r="C314" s="139"/>
      <c r="D314" s="167" t="s">
        <v>128</v>
      </c>
      <c r="E314" s="145"/>
      <c r="F314" s="145"/>
      <c r="G314" s="143"/>
      <c r="H314" s="143"/>
      <c r="I314" s="44"/>
      <c r="J314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4" s="45"/>
      <c r="L314" s="45"/>
      <c r="M314" s="45"/>
      <c r="N314" s="45"/>
      <c r="O314" s="45"/>
      <c r="P314" s="45"/>
      <c r="Q314" s="45"/>
      <c r="R314" s="45"/>
      <c r="S314" s="45"/>
      <c r="T314" s="21"/>
      <c r="U314" s="21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5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0)</f>
        <v>0</v>
      </c>
      <c r="K315" s="46">
        <f t="shared" ref="K315:K318" ca="1" si="236">IF(I315&gt;0,J315*100/I315,0)</f>
        <v>0</v>
      </c>
      <c r="L315" s="45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x14ac:dyDescent="0.25">
      <c r="A316" s="138"/>
      <c r="B316" s="139"/>
      <c r="C316" s="139"/>
      <c r="D316" s="149" t="s">
        <v>129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6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6" s="46">
        <f t="shared" ca="1" si="236"/>
        <v>0</v>
      </c>
      <c r="L316" s="45"/>
      <c r="M316" s="45"/>
      <c r="N316" s="45"/>
      <c r="O316" s="45"/>
      <c r="P316" s="45"/>
      <c r="Q316" s="45"/>
      <c r="R316" s="45"/>
      <c r="S316" s="45"/>
      <c r="T316" s="21"/>
      <c r="U316" s="21"/>
    </row>
    <row r="317" spans="1:21" ht="18.75" x14ac:dyDescent="0.25">
      <c r="A317" s="138"/>
      <c r="B317" s="139"/>
      <c r="C317" s="139"/>
      <c r="D317" s="167" t="s">
        <v>50</v>
      </c>
      <c r="E317" s="145"/>
      <c r="F317" s="145"/>
      <c r="G317" s="143"/>
      <c r="H317" s="150" t="s">
        <v>35</v>
      </c>
      <c r="I317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7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7" s="46">
        <f t="shared" ca="1" si="236"/>
        <v>0</v>
      </c>
      <c r="L317" s="45"/>
      <c r="M317" s="45"/>
      <c r="N317" s="45"/>
      <c r="O317" s="45"/>
      <c r="P317" s="45"/>
      <c r="Q317" s="45"/>
      <c r="R317" s="45"/>
      <c r="S317" s="45"/>
      <c r="T317" s="21"/>
      <c r="U317" s="21"/>
    </row>
    <row r="318" spans="1:21" ht="18.75" x14ac:dyDescent="0.25">
      <c r="A318" s="224"/>
      <c r="B318" s="159"/>
      <c r="C318" s="159"/>
      <c r="D318" s="47" t="s">
        <v>130</v>
      </c>
      <c r="E318" s="40"/>
      <c r="F318" s="40"/>
      <c r="G318" s="42"/>
      <c r="H318" s="43" t="s">
        <v>35</v>
      </c>
      <c r="I318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8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8" s="46">
        <f t="shared" ca="1" si="236"/>
        <v>0</v>
      </c>
      <c r="L318" s="45"/>
      <c r="M318" s="45"/>
      <c r="N318" s="45"/>
      <c r="O318" s="45"/>
      <c r="P318" s="45"/>
      <c r="Q318" s="45"/>
      <c r="R318" s="45"/>
      <c r="S318" s="45"/>
      <c r="T318" s="21"/>
      <c r="U318" s="21"/>
    </row>
    <row r="319" spans="1:21" ht="19.5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315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37">I331</f>
        <v>4</v>
      </c>
      <c r="J320" s="321">
        <f t="shared" ca="1" si="237"/>
        <v>1</v>
      </c>
      <c r="K320" s="322">
        <f ca="1">IF(I320&gt;0,J320*100/I320,0)</f>
        <v>25</v>
      </c>
      <c r="L320" s="323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x14ac:dyDescent="0.3">
      <c r="A321" s="128"/>
      <c r="B321" s="40"/>
      <c r="C321" s="129" t="s">
        <v>18</v>
      </c>
      <c r="D321" s="130" t="s">
        <v>19</v>
      </c>
      <c r="E321" s="40"/>
      <c r="F321" s="40"/>
      <c r="G321" s="42"/>
      <c r="H321" s="131" t="s">
        <v>14</v>
      </c>
      <c r="I321" s="44"/>
      <c r="J321" s="44"/>
      <c r="K321" s="45"/>
      <c r="L321" s="132">
        <f t="shared" ref="L321:N321" ca="1" si="238">L322+L323</f>
        <v>90000</v>
      </c>
      <c r="M321" s="132">
        <f t="shared" ca="1" si="238"/>
        <v>150000</v>
      </c>
      <c r="N321" s="132">
        <f t="shared" ca="1" si="238"/>
        <v>128882.1</v>
      </c>
      <c r="O321" s="132">
        <f t="shared" ref="O321:O329" ca="1" si="239">IF(L321&gt;0,N321*100/L321,0)</f>
        <v>143.20233333333334</v>
      </c>
      <c r="P321" s="132">
        <f t="shared" ref="P321:P329" ca="1" si="240">IF(M321&gt;0,N321*100/M321,0)</f>
        <v>85.921400000000006</v>
      </c>
      <c r="Q321" s="132">
        <f t="shared" ref="Q321:S321" ca="1" si="241">Q322+Q323</f>
        <v>0</v>
      </c>
      <c r="R321" s="132">
        <f t="shared" ca="1" si="241"/>
        <v>0</v>
      </c>
      <c r="S321" s="132">
        <f t="shared" ca="1" si="241"/>
        <v>0</v>
      </c>
      <c r="T321" s="132">
        <f t="shared" ref="T321:T329" ca="1" si="242">IF(Q321&gt;0,S321*100/Q321,0)</f>
        <v>0</v>
      </c>
      <c r="U321" s="132">
        <f t="shared" ref="U321:U329" ca="1" si="243"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20</v>
      </c>
      <c r="F322" s="40"/>
      <c r="G322" s="42"/>
      <c r="H322" s="133" t="s">
        <v>14</v>
      </c>
      <c r="I322" s="44"/>
      <c r="J322" s="44"/>
      <c r="K322" s="45"/>
      <c r="L322" s="46">
        <f t="shared" ref="L322:N322" ca="1" si="244">L325+L328</f>
        <v>0</v>
      </c>
      <c r="M322" s="46">
        <f t="shared" ca="1" si="244"/>
        <v>0</v>
      </c>
      <c r="N322" s="46">
        <f t="shared" ca="1" si="244"/>
        <v>0</v>
      </c>
      <c r="O322" s="46">
        <f t="shared" ca="1" si="239"/>
        <v>0</v>
      </c>
      <c r="P322" s="46">
        <f t="shared" ca="1" si="240"/>
        <v>0</v>
      </c>
      <c r="Q322" s="46">
        <f t="shared" ref="Q322:S322" ca="1" si="245">Q325+Q328</f>
        <v>0</v>
      </c>
      <c r="R322" s="46">
        <f t="shared" ca="1" si="245"/>
        <v>0</v>
      </c>
      <c r="S322" s="46">
        <f t="shared" ca="1" si="245"/>
        <v>0</v>
      </c>
      <c r="T322" s="48">
        <f t="shared" ca="1" si="242"/>
        <v>0</v>
      </c>
      <c r="U322" s="48">
        <f t="shared" ca="1" si="243"/>
        <v>0</v>
      </c>
    </row>
    <row r="323" spans="1:21" ht="18.75" x14ac:dyDescent="0.25">
      <c r="A323" s="128"/>
      <c r="B323" s="40"/>
      <c r="C323" s="40"/>
      <c r="D323" s="40"/>
      <c r="E323" s="47" t="s">
        <v>21</v>
      </c>
      <c r="F323" s="40"/>
      <c r="G323" s="42"/>
      <c r="H323" s="133" t="s">
        <v>14</v>
      </c>
      <c r="I323" s="44"/>
      <c r="J323" s="44"/>
      <c r="K323" s="45"/>
      <c r="L323" s="46">
        <f t="shared" ref="L323:N323" ca="1" si="246">L326+L329</f>
        <v>90000</v>
      </c>
      <c r="M323" s="46">
        <f t="shared" ca="1" si="246"/>
        <v>150000</v>
      </c>
      <c r="N323" s="46">
        <f t="shared" ca="1" si="246"/>
        <v>128882.1</v>
      </c>
      <c r="O323" s="46">
        <f t="shared" ca="1" si="239"/>
        <v>143.20233333333334</v>
      </c>
      <c r="P323" s="46">
        <f t="shared" ca="1" si="240"/>
        <v>85.921400000000006</v>
      </c>
      <c r="Q323" s="46">
        <f t="shared" ref="Q323:S323" ca="1" si="247">Q326+Q329</f>
        <v>0</v>
      </c>
      <c r="R323" s="46">
        <f t="shared" ca="1" si="247"/>
        <v>0</v>
      </c>
      <c r="S323" s="46">
        <f t="shared" ca="1" si="247"/>
        <v>0</v>
      </c>
      <c r="T323" s="46">
        <f t="shared" ca="1" si="242"/>
        <v>0</v>
      </c>
      <c r="U323" s="46">
        <f t="shared" ca="1" si="243"/>
        <v>0</v>
      </c>
    </row>
    <row r="324" spans="1:21" ht="18.75" x14ac:dyDescent="0.25">
      <c r="A324" s="128"/>
      <c r="B324" s="40"/>
      <c r="C324" s="40"/>
      <c r="D324" s="41" t="s">
        <v>22</v>
      </c>
      <c r="E324" s="40"/>
      <c r="F324" s="40"/>
      <c r="G324" s="42"/>
      <c r="H324" s="134" t="s">
        <v>14</v>
      </c>
      <c r="I324" s="135"/>
      <c r="J324" s="135"/>
      <c r="K324" s="136"/>
      <c r="L324" s="46">
        <f t="shared" ref="L324:N324" ca="1" si="248">L325+L326</f>
        <v>90000</v>
      </c>
      <c r="M324" s="46">
        <f t="shared" ca="1" si="248"/>
        <v>150000</v>
      </c>
      <c r="N324" s="46">
        <f t="shared" ca="1" si="248"/>
        <v>128882.1</v>
      </c>
      <c r="O324" s="46">
        <f t="shared" ca="1" si="239"/>
        <v>143.20233333333334</v>
      </c>
      <c r="P324" s="46">
        <f t="shared" ca="1" si="240"/>
        <v>85.921400000000006</v>
      </c>
      <c r="Q324" s="46">
        <f t="shared" ref="Q324:S324" ca="1" si="249">Q325+Q326</f>
        <v>0</v>
      </c>
      <c r="R324" s="46">
        <f t="shared" ca="1" si="249"/>
        <v>0</v>
      </c>
      <c r="S324" s="46">
        <f t="shared" ca="1" si="249"/>
        <v>0</v>
      </c>
      <c r="T324" s="46">
        <f t="shared" ca="1" si="242"/>
        <v>0</v>
      </c>
      <c r="U324" s="46">
        <f t="shared" ca="1" si="243"/>
        <v>0</v>
      </c>
    </row>
    <row r="325" spans="1:21" ht="18.75" x14ac:dyDescent="0.25">
      <c r="A325" s="128"/>
      <c r="B325" s="40"/>
      <c r="C325" s="40"/>
      <c r="D325" s="40"/>
      <c r="E325" s="47" t="s">
        <v>36</v>
      </c>
      <c r="F325" s="40"/>
      <c r="G325" s="42"/>
      <c r="H325" s="134" t="s">
        <v>14</v>
      </c>
      <c r="I325" s="135"/>
      <c r="J325" s="135"/>
      <c r="K325" s="136"/>
      <c r="L325" s="46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5" s="46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5" s="46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5" s="46">
        <f t="shared" ca="1" si="239"/>
        <v>0</v>
      </c>
      <c r="P325" s="46">
        <f t="shared" ca="1" si="240"/>
        <v>0</v>
      </c>
      <c r="Q325" s="46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5" s="46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5" s="46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5" s="48">
        <f t="shared" ca="1" si="242"/>
        <v>0</v>
      </c>
      <c r="U325" s="48">
        <f t="shared" ca="1" si="243"/>
        <v>0</v>
      </c>
    </row>
    <row r="326" spans="1:21" ht="18.75" x14ac:dyDescent="0.25">
      <c r="A326" s="128"/>
      <c r="B326" s="40"/>
      <c r="C326" s="40"/>
      <c r="D326" s="40"/>
      <c r="E326" s="47" t="s">
        <v>37</v>
      </c>
      <c r="F326" s="40"/>
      <c r="G326" s="42"/>
      <c r="H326" s="134" t="s">
        <v>14</v>
      </c>
      <c r="I326" s="135"/>
      <c r="J326" s="135"/>
      <c r="K326" s="136"/>
      <c r="L326" s="46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90000)</f>
        <v>90000</v>
      </c>
      <c r="M326" s="46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150000)</f>
        <v>150000</v>
      </c>
      <c r="N326" s="46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128882.1)</f>
        <v>128882.1</v>
      </c>
      <c r="O326" s="46">
        <f t="shared" ca="1" si="239"/>
        <v>143.20233333333334</v>
      </c>
      <c r="P326" s="46">
        <f t="shared" ca="1" si="240"/>
        <v>85.921400000000006</v>
      </c>
      <c r="Q326" s="46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6" s="46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6" s="46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6" s="46">
        <f t="shared" ca="1" si="242"/>
        <v>0</v>
      </c>
      <c r="U326" s="46">
        <f t="shared" ca="1" si="243"/>
        <v>0</v>
      </c>
    </row>
    <row r="327" spans="1:21" ht="18.75" x14ac:dyDescent="0.25">
      <c r="A327" s="128"/>
      <c r="B327" s="40"/>
      <c r="C327" s="40"/>
      <c r="D327" s="41" t="s">
        <v>23</v>
      </c>
      <c r="E327" s="40"/>
      <c r="F327" s="40"/>
      <c r="G327" s="42"/>
      <c r="H327" s="137" t="s">
        <v>14</v>
      </c>
      <c r="I327" s="135"/>
      <c r="J327" s="135"/>
      <c r="K327" s="136"/>
      <c r="L327" s="46">
        <f t="shared" ref="L327:N327" ca="1" si="250">L328+L329</f>
        <v>0</v>
      </c>
      <c r="M327" s="46">
        <f t="shared" ca="1" si="250"/>
        <v>0</v>
      </c>
      <c r="N327" s="46">
        <f t="shared" ca="1" si="250"/>
        <v>0</v>
      </c>
      <c r="O327" s="46">
        <f t="shared" ca="1" si="239"/>
        <v>0</v>
      </c>
      <c r="P327" s="46">
        <f t="shared" ca="1" si="240"/>
        <v>0</v>
      </c>
      <c r="Q327" s="46">
        <f t="shared" ref="Q327:S327" ca="1" si="251">Q328+Q329</f>
        <v>0</v>
      </c>
      <c r="R327" s="46">
        <f t="shared" ca="1" si="251"/>
        <v>0</v>
      </c>
      <c r="S327" s="46">
        <f t="shared" ca="1" si="251"/>
        <v>0</v>
      </c>
      <c r="T327" s="46">
        <f t="shared" ca="1" si="242"/>
        <v>0</v>
      </c>
      <c r="U327" s="46">
        <f t="shared" ca="1" si="243"/>
        <v>0</v>
      </c>
    </row>
    <row r="328" spans="1:21" ht="18.75" x14ac:dyDescent="0.25">
      <c r="A328" s="128"/>
      <c r="B328" s="40"/>
      <c r="C328" s="40"/>
      <c r="D328" s="40"/>
      <c r="E328" s="47" t="s">
        <v>20</v>
      </c>
      <c r="F328" s="40"/>
      <c r="G328" s="42"/>
      <c r="H328" s="134" t="s">
        <v>14</v>
      </c>
      <c r="I328" s="135"/>
      <c r="J328" s="135"/>
      <c r="K328" s="136"/>
      <c r="L328" s="46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8" s="46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8" s="46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8" s="46">
        <f t="shared" ca="1" si="239"/>
        <v>0</v>
      </c>
      <c r="P328" s="46">
        <f t="shared" ca="1" si="240"/>
        <v>0</v>
      </c>
      <c r="Q328" s="46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8" s="46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8" s="46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8" s="48">
        <f t="shared" ca="1" si="242"/>
        <v>0</v>
      </c>
      <c r="U328" s="48">
        <f t="shared" ca="1" si="243"/>
        <v>0</v>
      </c>
    </row>
    <row r="329" spans="1:21" ht="18.75" x14ac:dyDescent="0.25">
      <c r="A329" s="128"/>
      <c r="B329" s="40"/>
      <c r="C329" s="40"/>
      <c r="D329" s="40"/>
      <c r="E329" s="47" t="s">
        <v>21</v>
      </c>
      <c r="F329" s="40"/>
      <c r="G329" s="42"/>
      <c r="H329" s="137" t="s">
        <v>14</v>
      </c>
      <c r="I329" s="135"/>
      <c r="J329" s="135"/>
      <c r="K329" s="136"/>
      <c r="L329" s="46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0)</f>
        <v>0</v>
      </c>
      <c r="M329" s="46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0)</f>
        <v>0</v>
      </c>
      <c r="N329" s="46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0)</f>
        <v>0</v>
      </c>
      <c r="O329" s="46">
        <f t="shared" ca="1" si="239"/>
        <v>0</v>
      </c>
      <c r="P329" s="46">
        <f t="shared" ca="1" si="240"/>
        <v>0</v>
      </c>
      <c r="Q329" s="46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9" s="46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9" s="46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9" s="46">
        <f t="shared" ca="1" si="242"/>
        <v>0</v>
      </c>
      <c r="U329" s="46">
        <f t="shared" ca="1" si="243"/>
        <v>0</v>
      </c>
    </row>
    <row r="330" spans="1:21" ht="19.5" x14ac:dyDescent="0.3">
      <c r="A330" s="138"/>
      <c r="B330" s="139"/>
      <c r="C330" s="129" t="s">
        <v>18</v>
      </c>
      <c r="D330" s="140" t="s">
        <v>38</v>
      </c>
      <c r="E330" s="141"/>
      <c r="F330" s="141"/>
      <c r="G330" s="142"/>
      <c r="H330" s="143"/>
      <c r="I330" s="135"/>
      <c r="J330" s="44"/>
      <c r="K330" s="45"/>
      <c r="L330" s="4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3" t="s">
        <v>133</v>
      </c>
      <c r="I331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4)</f>
        <v>4</v>
      </c>
      <c r="J331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1)</f>
        <v>1</v>
      </c>
      <c r="K331" s="46">
        <f ca="1">IF(I331&gt;0,J331*100/I331,0)</f>
        <v>25</v>
      </c>
      <c r="L331" s="45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315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321">
        <f ca="1">I345</f>
        <v>12140</v>
      </c>
      <c r="J333" s="321">
        <f ca="1">J345+J348+J349+J350+J354</f>
        <v>44343</v>
      </c>
      <c r="K333" s="322">
        <f ca="1">IF(I333&gt;0,J333*100/I333,0)</f>
        <v>365.26359143327841</v>
      </c>
      <c r="L333" s="323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40"/>
      <c r="C334" s="129" t="s">
        <v>18</v>
      </c>
      <c r="D334" s="130" t="s">
        <v>19</v>
      </c>
      <c r="E334" s="40"/>
      <c r="F334" s="40"/>
      <c r="G334" s="42"/>
      <c r="H334" s="131" t="s">
        <v>14</v>
      </c>
      <c r="I334" s="44"/>
      <c r="J334" s="44"/>
      <c r="K334" s="45"/>
      <c r="L334" s="132">
        <f t="shared" ref="L334:N334" ca="1" si="252">L335+L336</f>
        <v>1752700</v>
      </c>
      <c r="M334" s="132">
        <f t="shared" ca="1" si="252"/>
        <v>1873875</v>
      </c>
      <c r="N334" s="132">
        <f t="shared" ca="1" si="252"/>
        <v>1244083.3999999999</v>
      </c>
      <c r="O334" s="132">
        <f t="shared" ref="O334:O342" ca="1" si="253">IF(L334&gt;0,N334*100/L334,0)</f>
        <v>70.980966508814959</v>
      </c>
      <c r="P334" s="132">
        <f t="shared" ref="P334:P342" ca="1" si="254">IF(M334&gt;0,N334*100/M334,0)</f>
        <v>66.390949236208385</v>
      </c>
      <c r="Q334" s="132">
        <f t="shared" ref="Q334:S334" ca="1" si="255">Q335+Q336</f>
        <v>0</v>
      </c>
      <c r="R334" s="132">
        <f t="shared" ca="1" si="255"/>
        <v>0</v>
      </c>
      <c r="S334" s="132">
        <f t="shared" ca="1" si="255"/>
        <v>0</v>
      </c>
      <c r="T334" s="132">
        <f t="shared" ref="T334:T342" ca="1" si="256">IF(Q334&gt;0,S334*100/Q334,0)</f>
        <v>0</v>
      </c>
      <c r="U334" s="132">
        <f t="shared" ref="U334:U342" ca="1" si="257">IF(R334&gt;0,S334*100/R334,0)</f>
        <v>0</v>
      </c>
    </row>
    <row r="335" spans="1:21" ht="18.75" x14ac:dyDescent="0.25">
      <c r="A335" s="128"/>
      <c r="B335" s="40"/>
      <c r="C335" s="40"/>
      <c r="D335" s="40"/>
      <c r="E335" s="47" t="s">
        <v>20</v>
      </c>
      <c r="F335" s="40"/>
      <c r="G335" s="42"/>
      <c r="H335" s="133" t="s">
        <v>14</v>
      </c>
      <c r="I335" s="44"/>
      <c r="J335" s="44"/>
      <c r="K335" s="45"/>
      <c r="L335" s="46">
        <f t="shared" ref="L335:N335" ca="1" si="258">L338+L341</f>
        <v>0</v>
      </c>
      <c r="M335" s="46">
        <f t="shared" ca="1" si="258"/>
        <v>0</v>
      </c>
      <c r="N335" s="46">
        <f t="shared" ca="1" si="258"/>
        <v>0</v>
      </c>
      <c r="O335" s="46">
        <f t="shared" ca="1" si="253"/>
        <v>0</v>
      </c>
      <c r="P335" s="46">
        <f t="shared" ca="1" si="254"/>
        <v>0</v>
      </c>
      <c r="Q335" s="46">
        <f t="shared" ref="Q335:S335" ca="1" si="259">Q338+Q341</f>
        <v>0</v>
      </c>
      <c r="R335" s="46">
        <f t="shared" ca="1" si="259"/>
        <v>0</v>
      </c>
      <c r="S335" s="46">
        <f t="shared" ca="1" si="259"/>
        <v>0</v>
      </c>
      <c r="T335" s="48">
        <f t="shared" ca="1" si="256"/>
        <v>0</v>
      </c>
      <c r="U335" s="48">
        <f t="shared" ca="1" si="257"/>
        <v>0</v>
      </c>
    </row>
    <row r="336" spans="1:21" ht="18.75" x14ac:dyDescent="0.25">
      <c r="A336" s="128"/>
      <c r="B336" s="40"/>
      <c r="C336" s="40"/>
      <c r="D336" s="40"/>
      <c r="E336" s="47" t="s">
        <v>21</v>
      </c>
      <c r="F336" s="40"/>
      <c r="G336" s="42"/>
      <c r="H336" s="133" t="s">
        <v>14</v>
      </c>
      <c r="I336" s="44"/>
      <c r="J336" s="44"/>
      <c r="K336" s="45"/>
      <c r="L336" s="46">
        <f t="shared" ref="L336:N336" ca="1" si="260">L339+L342</f>
        <v>1752700</v>
      </c>
      <c r="M336" s="46">
        <f t="shared" ca="1" si="260"/>
        <v>1873875</v>
      </c>
      <c r="N336" s="46">
        <f t="shared" ca="1" si="260"/>
        <v>1244083.3999999999</v>
      </c>
      <c r="O336" s="46">
        <f t="shared" ca="1" si="253"/>
        <v>70.980966508814959</v>
      </c>
      <c r="P336" s="46">
        <f t="shared" ca="1" si="254"/>
        <v>66.390949236208385</v>
      </c>
      <c r="Q336" s="46">
        <f t="shared" ref="Q336:S336" ca="1" si="261">Q339+Q342</f>
        <v>0</v>
      </c>
      <c r="R336" s="46">
        <f t="shared" ca="1" si="261"/>
        <v>0</v>
      </c>
      <c r="S336" s="46">
        <f t="shared" ca="1" si="261"/>
        <v>0</v>
      </c>
      <c r="T336" s="46">
        <f t="shared" ca="1" si="256"/>
        <v>0</v>
      </c>
      <c r="U336" s="46">
        <f t="shared" ca="1" si="257"/>
        <v>0</v>
      </c>
    </row>
    <row r="337" spans="1:21" ht="18.75" x14ac:dyDescent="0.25">
      <c r="A337" s="128"/>
      <c r="B337" s="40"/>
      <c r="C337" s="40"/>
      <c r="D337" s="41" t="s">
        <v>22</v>
      </c>
      <c r="E337" s="40"/>
      <c r="F337" s="40"/>
      <c r="G337" s="42"/>
      <c r="H337" s="134" t="s">
        <v>14</v>
      </c>
      <c r="I337" s="135"/>
      <c r="J337" s="135"/>
      <c r="K337" s="136"/>
      <c r="L337" s="46">
        <f t="shared" ref="L337:N337" ca="1" si="262">L338+L339</f>
        <v>1752700</v>
      </c>
      <c r="M337" s="46">
        <f t="shared" ca="1" si="262"/>
        <v>1873875</v>
      </c>
      <c r="N337" s="46">
        <f t="shared" ca="1" si="262"/>
        <v>1244083.3999999999</v>
      </c>
      <c r="O337" s="46">
        <f t="shared" ca="1" si="253"/>
        <v>70.980966508814959</v>
      </c>
      <c r="P337" s="46">
        <f t="shared" ca="1" si="254"/>
        <v>66.390949236208385</v>
      </c>
      <c r="Q337" s="46">
        <f t="shared" ref="Q337:S337" ca="1" si="263">Q338+Q339</f>
        <v>0</v>
      </c>
      <c r="R337" s="46">
        <f t="shared" ca="1" si="263"/>
        <v>0</v>
      </c>
      <c r="S337" s="46">
        <f t="shared" ca="1" si="263"/>
        <v>0</v>
      </c>
      <c r="T337" s="46">
        <f t="shared" ca="1" si="256"/>
        <v>0</v>
      </c>
      <c r="U337" s="46">
        <f t="shared" ca="1" si="257"/>
        <v>0</v>
      </c>
    </row>
    <row r="338" spans="1:21" ht="18.75" x14ac:dyDescent="0.25">
      <c r="A338" s="128"/>
      <c r="B338" s="40"/>
      <c r="C338" s="40"/>
      <c r="D338" s="40"/>
      <c r="E338" s="47" t="s">
        <v>36</v>
      </c>
      <c r="F338" s="40"/>
      <c r="G338" s="42"/>
      <c r="H338" s="134" t="s">
        <v>14</v>
      </c>
      <c r="I338" s="135"/>
      <c r="J338" s="135"/>
      <c r="K338" s="136"/>
      <c r="L338" s="46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8" s="46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8" s="46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8" s="46">
        <f t="shared" ca="1" si="253"/>
        <v>0</v>
      </c>
      <c r="P338" s="46">
        <f t="shared" ca="1" si="254"/>
        <v>0</v>
      </c>
      <c r="Q338" s="46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8" s="46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8" s="46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8" s="48">
        <f t="shared" ca="1" si="256"/>
        <v>0</v>
      </c>
      <c r="U338" s="48">
        <f t="shared" ca="1" si="257"/>
        <v>0</v>
      </c>
    </row>
    <row r="339" spans="1:21" ht="18.75" x14ac:dyDescent="0.25">
      <c r="A339" s="128"/>
      <c r="B339" s="40"/>
      <c r="C339" s="40"/>
      <c r="D339" s="40"/>
      <c r="E339" s="47" t="s">
        <v>37</v>
      </c>
      <c r="F339" s="40"/>
      <c r="G339" s="42"/>
      <c r="H339" s="134" t="s">
        <v>14</v>
      </c>
      <c r="I339" s="135"/>
      <c r="J339" s="135"/>
      <c r="K339" s="136"/>
      <c r="L339" s="46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1752700)</f>
        <v>1752700</v>
      </c>
      <c r="M339" s="46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1873875)</f>
        <v>1873875</v>
      </c>
      <c r="N339" s="46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1244083.4)</f>
        <v>1244083.3999999999</v>
      </c>
      <c r="O339" s="46">
        <f t="shared" ca="1" si="253"/>
        <v>70.980966508814959</v>
      </c>
      <c r="P339" s="46">
        <f t="shared" ca="1" si="254"/>
        <v>66.390949236208385</v>
      </c>
      <c r="Q339" s="46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9" s="46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9" s="46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9" s="46">
        <f t="shared" ca="1" si="256"/>
        <v>0</v>
      </c>
      <c r="U339" s="46">
        <f t="shared" ca="1" si="257"/>
        <v>0</v>
      </c>
    </row>
    <row r="340" spans="1:21" ht="18.75" x14ac:dyDescent="0.25">
      <c r="A340" s="128"/>
      <c r="B340" s="40"/>
      <c r="C340" s="40"/>
      <c r="D340" s="41" t="s">
        <v>23</v>
      </c>
      <c r="E340" s="40"/>
      <c r="F340" s="40"/>
      <c r="G340" s="42"/>
      <c r="H340" s="137" t="s">
        <v>14</v>
      </c>
      <c r="I340" s="135"/>
      <c r="J340" s="135"/>
      <c r="K340" s="136"/>
      <c r="L340" s="46">
        <f t="shared" ref="L340:N340" ca="1" si="264">L341+L342</f>
        <v>0</v>
      </c>
      <c r="M340" s="46">
        <f t="shared" ca="1" si="264"/>
        <v>0</v>
      </c>
      <c r="N340" s="46">
        <f t="shared" ca="1" si="264"/>
        <v>0</v>
      </c>
      <c r="O340" s="46">
        <f t="shared" ca="1" si="253"/>
        <v>0</v>
      </c>
      <c r="P340" s="46">
        <f t="shared" ca="1" si="254"/>
        <v>0</v>
      </c>
      <c r="Q340" s="46">
        <f t="shared" ref="Q340:S340" ca="1" si="265">Q341+Q342</f>
        <v>0</v>
      </c>
      <c r="R340" s="46">
        <f t="shared" ca="1" si="265"/>
        <v>0</v>
      </c>
      <c r="S340" s="46">
        <f t="shared" ca="1" si="265"/>
        <v>0</v>
      </c>
      <c r="T340" s="46">
        <f t="shared" ca="1" si="256"/>
        <v>0</v>
      </c>
      <c r="U340" s="46">
        <f t="shared" ca="1" si="257"/>
        <v>0</v>
      </c>
    </row>
    <row r="341" spans="1:21" ht="18.75" x14ac:dyDescent="0.25">
      <c r="A341" s="128"/>
      <c r="B341" s="40"/>
      <c r="C341" s="40"/>
      <c r="D341" s="40"/>
      <c r="E341" s="47" t="s">
        <v>20</v>
      </c>
      <c r="F341" s="40"/>
      <c r="G341" s="42"/>
      <c r="H341" s="134" t="s">
        <v>14</v>
      </c>
      <c r="I341" s="135"/>
      <c r="J341" s="135"/>
      <c r="K341" s="136"/>
      <c r="L341" s="46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1" s="46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1" s="46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1" s="46">
        <f t="shared" ca="1" si="253"/>
        <v>0</v>
      </c>
      <c r="P341" s="46">
        <f t="shared" ca="1" si="254"/>
        <v>0</v>
      </c>
      <c r="Q341" s="46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1" s="46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1" s="46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1" s="48">
        <f t="shared" ca="1" si="256"/>
        <v>0</v>
      </c>
      <c r="U341" s="48">
        <f t="shared" ca="1" si="257"/>
        <v>0</v>
      </c>
    </row>
    <row r="342" spans="1:21" ht="18.75" x14ac:dyDescent="0.25">
      <c r="A342" s="128"/>
      <c r="B342" s="40"/>
      <c r="C342" s="40"/>
      <c r="D342" s="40"/>
      <c r="E342" s="47" t="s">
        <v>21</v>
      </c>
      <c r="F342" s="40"/>
      <c r="G342" s="42"/>
      <c r="H342" s="137" t="s">
        <v>14</v>
      </c>
      <c r="I342" s="135"/>
      <c r="J342" s="135"/>
      <c r="K342" s="136"/>
      <c r="L342" s="46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0)</f>
        <v>0</v>
      </c>
      <c r="M342" s="46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0)</f>
        <v>0</v>
      </c>
      <c r="N342" s="46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2" s="46">
        <f t="shared" ca="1" si="253"/>
        <v>0</v>
      </c>
      <c r="P342" s="46">
        <f t="shared" ca="1" si="254"/>
        <v>0</v>
      </c>
      <c r="Q342" s="46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2" s="46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2" s="46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2" s="46">
        <f t="shared" ca="1" si="256"/>
        <v>0</v>
      </c>
      <c r="U342" s="46">
        <f t="shared" ca="1" si="257"/>
        <v>0</v>
      </c>
    </row>
    <row r="343" spans="1:21" ht="19.5" x14ac:dyDescent="0.3">
      <c r="A343" s="138"/>
      <c r="B343" s="139"/>
      <c r="C343" s="129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45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229"/>
      <c r="B344" s="232"/>
      <c r="C344" s="230"/>
      <c r="D344" s="232"/>
      <c r="E344" s="328" t="s">
        <v>137</v>
      </c>
      <c r="F344" s="232"/>
      <c r="G344" s="233"/>
      <c r="H344" s="234" t="s">
        <v>35</v>
      </c>
      <c r="I344" s="235">
        <v>0</v>
      </c>
      <c r="J344" s="235">
        <f ca="1">J345+J348+J349+J350</f>
        <v>18861</v>
      </c>
      <c r="K344" s="236">
        <v>0</v>
      </c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40"/>
      <c r="C345" s="159"/>
      <c r="D345" s="145"/>
      <c r="E345" s="167" t="s">
        <v>138</v>
      </c>
      <c r="F345" s="40"/>
      <c r="G345" s="42"/>
      <c r="H345" s="226" t="s">
        <v>35</v>
      </c>
      <c r="I345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5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18340)</f>
        <v>18340</v>
      </c>
      <c r="K345" s="46">
        <f ca="1">IF(I345&gt;0,J345*100/I345,0)</f>
        <v>151.07084019769357</v>
      </c>
      <c r="L345" s="4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40"/>
      <c r="C346" s="159"/>
      <c r="D346" s="145"/>
      <c r="E346" s="167" t="s">
        <v>139</v>
      </c>
      <c r="F346" s="40"/>
      <c r="G346" s="42"/>
      <c r="H346" s="193"/>
      <c r="I346" s="44"/>
      <c r="J346" s="44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40"/>
      <c r="C347" s="159"/>
      <c r="D347" s="145"/>
      <c r="E347" s="145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7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37)</f>
        <v>37</v>
      </c>
      <c r="K347" s="46">
        <f ca="1">IF(I347&gt;0,J347*100/I347,0)</f>
        <v>112.12121212121212</v>
      </c>
      <c r="L347" s="4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40"/>
      <c r="C348" s="159"/>
      <c r="D348" s="145"/>
      <c r="E348" s="145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374)</f>
        <v>374</v>
      </c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40"/>
      <c r="C349" s="159"/>
      <c r="D349" s="145"/>
      <c r="E349" s="167" t="s">
        <v>143</v>
      </c>
      <c r="F349" s="145"/>
      <c r="G349" s="42"/>
      <c r="H349" s="188" t="s">
        <v>35</v>
      </c>
      <c r="I349" s="44"/>
      <c r="J349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15)</f>
        <v>15</v>
      </c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40"/>
      <c r="C350" s="159"/>
      <c r="D350" s="139"/>
      <c r="E350" s="167" t="s">
        <v>144</v>
      </c>
      <c r="F350" s="145"/>
      <c r="G350" s="42"/>
      <c r="H350" s="188" t="s">
        <v>35</v>
      </c>
      <c r="I350" s="44"/>
      <c r="J350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40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40"/>
      <c r="F351" s="40"/>
      <c r="G351" s="42"/>
      <c r="H351" s="193"/>
      <c r="I351" s="44"/>
      <c r="J351" s="44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330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39083</v>
      </c>
      <c r="K352" s="236">
        <v>0</v>
      </c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40"/>
      <c r="C353" s="159"/>
      <c r="D353" s="145"/>
      <c r="E353" s="167" t="s">
        <v>146</v>
      </c>
      <c r="F353" s="40"/>
      <c r="G353" s="42"/>
      <c r="H353" s="133" t="s">
        <v>35</v>
      </c>
      <c r="I353" s="44"/>
      <c r="J353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13601)</f>
        <v>13601</v>
      </c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40"/>
      <c r="C354" s="159"/>
      <c r="D354" s="145"/>
      <c r="E354" s="167" t="s">
        <v>147</v>
      </c>
      <c r="F354" s="40"/>
      <c r="G354" s="42"/>
      <c r="H354" s="133" t="s">
        <v>35</v>
      </c>
      <c r="I354" s="44"/>
      <c r="J354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25482)</f>
        <v>25482</v>
      </c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40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40"/>
      <c r="F355" s="40"/>
      <c r="G355" s="42"/>
      <c r="H355" s="193"/>
      <c r="I355" s="44"/>
      <c r="J355" s="44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323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40"/>
      <c r="C357" s="129" t="s">
        <v>18</v>
      </c>
      <c r="D357" s="130" t="s">
        <v>19</v>
      </c>
      <c r="E357" s="40"/>
      <c r="F357" s="40"/>
      <c r="G357" s="42"/>
      <c r="H357" s="131" t="s">
        <v>14</v>
      </c>
      <c r="I357" s="44"/>
      <c r="J357" s="44"/>
      <c r="K357" s="45"/>
      <c r="L357" s="132">
        <f t="shared" ref="L357:N357" ca="1" si="266">L358+L359</f>
        <v>6318015</v>
      </c>
      <c r="M357" s="132">
        <f t="shared" ca="1" si="266"/>
        <v>6403615</v>
      </c>
      <c r="N357" s="132">
        <f t="shared" ca="1" si="266"/>
        <v>4163665.64</v>
      </c>
      <c r="O357" s="132">
        <f t="shared" ref="O357:O365" ca="1" si="267">IF(L357&gt;0,N357*100/L357,0)</f>
        <v>65.901483931266384</v>
      </c>
      <c r="P357" s="132">
        <f t="shared" ref="P357:P365" ca="1" si="268">IF(M357&gt;0,N357*100/M357,0)</f>
        <v>65.020549174177404</v>
      </c>
      <c r="Q357" s="132">
        <f t="shared" ref="Q357:S357" ca="1" si="269">Q358+Q359</f>
        <v>0</v>
      </c>
      <c r="R357" s="132">
        <f t="shared" ca="1" si="269"/>
        <v>0</v>
      </c>
      <c r="S357" s="132">
        <f t="shared" ca="1" si="269"/>
        <v>0</v>
      </c>
      <c r="T357" s="132">
        <f t="shared" ref="T357:T365" ca="1" si="270">IF(Q357&gt;0,S357*100/Q357,0)</f>
        <v>0</v>
      </c>
      <c r="U357" s="132">
        <f t="shared" ref="U357:U365" ca="1" si="271">IF(R357&gt;0,S357*100/R357,0)</f>
        <v>0</v>
      </c>
    </row>
    <row r="358" spans="1:21" ht="18.75" x14ac:dyDescent="0.25">
      <c r="A358" s="128"/>
      <c r="B358" s="40"/>
      <c r="C358" s="40"/>
      <c r="D358" s="40"/>
      <c r="E358" s="47" t="s">
        <v>20</v>
      </c>
      <c r="F358" s="40"/>
      <c r="G358" s="42"/>
      <c r="H358" s="133" t="s">
        <v>14</v>
      </c>
      <c r="I358" s="44"/>
      <c r="J358" s="44"/>
      <c r="K358" s="45"/>
      <c r="L358" s="46">
        <f t="shared" ref="L358:N358" ca="1" si="272">L361+L364</f>
        <v>0</v>
      </c>
      <c r="M358" s="46">
        <f t="shared" ca="1" si="272"/>
        <v>0</v>
      </c>
      <c r="N358" s="46">
        <f t="shared" ca="1" si="272"/>
        <v>0</v>
      </c>
      <c r="O358" s="46">
        <f t="shared" ca="1" si="267"/>
        <v>0</v>
      </c>
      <c r="P358" s="46">
        <f t="shared" ca="1" si="268"/>
        <v>0</v>
      </c>
      <c r="Q358" s="46">
        <f t="shared" ref="Q358:S358" ca="1" si="273">Q361+Q364</f>
        <v>0</v>
      </c>
      <c r="R358" s="46">
        <f t="shared" ca="1" si="273"/>
        <v>0</v>
      </c>
      <c r="S358" s="46">
        <f t="shared" ca="1" si="273"/>
        <v>0</v>
      </c>
      <c r="T358" s="48">
        <f t="shared" ca="1" si="270"/>
        <v>0</v>
      </c>
      <c r="U358" s="48">
        <f t="shared" ca="1" si="271"/>
        <v>0</v>
      </c>
    </row>
    <row r="359" spans="1:21" ht="18.75" x14ac:dyDescent="0.25">
      <c r="A359" s="128"/>
      <c r="B359" s="40"/>
      <c r="C359" s="40"/>
      <c r="D359" s="40"/>
      <c r="E359" s="47" t="s">
        <v>21</v>
      </c>
      <c r="F359" s="40"/>
      <c r="G359" s="42"/>
      <c r="H359" s="133" t="s">
        <v>14</v>
      </c>
      <c r="I359" s="44"/>
      <c r="J359" s="44"/>
      <c r="K359" s="45"/>
      <c r="L359" s="46">
        <f t="shared" ref="L359:N359" ca="1" si="274">L362+L365</f>
        <v>6318015</v>
      </c>
      <c r="M359" s="46">
        <f t="shared" ca="1" si="274"/>
        <v>6403615</v>
      </c>
      <c r="N359" s="46">
        <f t="shared" ca="1" si="274"/>
        <v>4163665.64</v>
      </c>
      <c r="O359" s="46">
        <f t="shared" ca="1" si="267"/>
        <v>65.901483931266384</v>
      </c>
      <c r="P359" s="46">
        <f t="shared" ca="1" si="268"/>
        <v>65.020549174177404</v>
      </c>
      <c r="Q359" s="46">
        <f t="shared" ref="Q359:S359" ca="1" si="275">Q362+Q365</f>
        <v>0</v>
      </c>
      <c r="R359" s="46">
        <f t="shared" ca="1" si="275"/>
        <v>0</v>
      </c>
      <c r="S359" s="46">
        <f t="shared" ca="1" si="275"/>
        <v>0</v>
      </c>
      <c r="T359" s="46">
        <f t="shared" ca="1" si="270"/>
        <v>0</v>
      </c>
      <c r="U359" s="46">
        <f t="shared" ca="1" si="271"/>
        <v>0</v>
      </c>
    </row>
    <row r="360" spans="1:21" ht="18.75" x14ac:dyDescent="0.25">
      <c r="A360" s="128"/>
      <c r="B360" s="40"/>
      <c r="C360" s="40"/>
      <c r="D360" s="41" t="s">
        <v>22</v>
      </c>
      <c r="E360" s="40"/>
      <c r="F360" s="40"/>
      <c r="G360" s="42"/>
      <c r="H360" s="134" t="s">
        <v>14</v>
      </c>
      <c r="I360" s="135"/>
      <c r="J360" s="135"/>
      <c r="K360" s="136"/>
      <c r="L360" s="46">
        <f t="shared" ref="L360:N360" ca="1" si="276">L361+L362</f>
        <v>6318015</v>
      </c>
      <c r="M360" s="46">
        <f t="shared" ca="1" si="276"/>
        <v>6403615</v>
      </c>
      <c r="N360" s="46">
        <f t="shared" ca="1" si="276"/>
        <v>4163665.64</v>
      </c>
      <c r="O360" s="46">
        <f t="shared" ca="1" si="267"/>
        <v>65.901483931266384</v>
      </c>
      <c r="P360" s="46">
        <f t="shared" ca="1" si="268"/>
        <v>65.020549174177404</v>
      </c>
      <c r="Q360" s="46">
        <f t="shared" ref="Q360:S360" ca="1" si="277">Q361+Q362</f>
        <v>0</v>
      </c>
      <c r="R360" s="46">
        <f t="shared" ca="1" si="277"/>
        <v>0</v>
      </c>
      <c r="S360" s="46">
        <f t="shared" ca="1" si="277"/>
        <v>0</v>
      </c>
      <c r="T360" s="46">
        <f t="shared" ca="1" si="270"/>
        <v>0</v>
      </c>
      <c r="U360" s="46">
        <f t="shared" ca="1" si="271"/>
        <v>0</v>
      </c>
    </row>
    <row r="361" spans="1:21" ht="18.75" x14ac:dyDescent="0.25">
      <c r="A361" s="128"/>
      <c r="B361" s="40"/>
      <c r="C361" s="40"/>
      <c r="D361" s="40"/>
      <c r="E361" s="47" t="s">
        <v>36</v>
      </c>
      <c r="F361" s="40"/>
      <c r="G361" s="42"/>
      <c r="H361" s="134" t="s">
        <v>14</v>
      </c>
      <c r="I361" s="135"/>
      <c r="J361" s="135"/>
      <c r="K361" s="136"/>
      <c r="L361" s="46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1" s="46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1" s="46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1" s="46">
        <f t="shared" ca="1" si="267"/>
        <v>0</v>
      </c>
      <c r="P361" s="46">
        <f t="shared" ca="1" si="268"/>
        <v>0</v>
      </c>
      <c r="Q361" s="46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1" s="46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1" s="46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1" s="48">
        <f t="shared" ca="1" si="270"/>
        <v>0</v>
      </c>
      <c r="U361" s="48">
        <f t="shared" ca="1" si="271"/>
        <v>0</v>
      </c>
    </row>
    <row r="362" spans="1:21" ht="18.75" x14ac:dyDescent="0.25">
      <c r="A362" s="128"/>
      <c r="B362" s="40"/>
      <c r="C362" s="40"/>
      <c r="D362" s="40"/>
      <c r="E362" s="47" t="s">
        <v>37</v>
      </c>
      <c r="F362" s="40"/>
      <c r="G362" s="42"/>
      <c r="H362" s="134" t="s">
        <v>14</v>
      </c>
      <c r="I362" s="135"/>
      <c r="J362" s="135"/>
      <c r="K362" s="136"/>
      <c r="L362" s="46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6318015)</f>
        <v>6318015</v>
      </c>
      <c r="M362" s="46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6403615)</f>
        <v>6403615</v>
      </c>
      <c r="N362" s="46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4163665.64)</f>
        <v>4163665.64</v>
      </c>
      <c r="O362" s="46">
        <f t="shared" ca="1" si="267"/>
        <v>65.901483931266384</v>
      </c>
      <c r="P362" s="46">
        <f t="shared" ca="1" si="268"/>
        <v>65.020549174177404</v>
      </c>
      <c r="Q362" s="46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2" s="46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2" s="46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2" s="46">
        <f t="shared" ca="1" si="270"/>
        <v>0</v>
      </c>
      <c r="U362" s="46">
        <f t="shared" ca="1" si="271"/>
        <v>0</v>
      </c>
    </row>
    <row r="363" spans="1:21" ht="18.75" x14ac:dyDescent="0.25">
      <c r="A363" s="128"/>
      <c r="B363" s="40"/>
      <c r="C363" s="40"/>
      <c r="D363" s="41" t="s">
        <v>23</v>
      </c>
      <c r="E363" s="40"/>
      <c r="F363" s="40"/>
      <c r="G363" s="42"/>
      <c r="H363" s="137" t="s">
        <v>14</v>
      </c>
      <c r="I363" s="135"/>
      <c r="J363" s="135"/>
      <c r="K363" s="136"/>
      <c r="L363" s="46">
        <f t="shared" ref="L363:N363" ca="1" si="278">L364+L365</f>
        <v>0</v>
      </c>
      <c r="M363" s="46">
        <f t="shared" ca="1" si="278"/>
        <v>0</v>
      </c>
      <c r="N363" s="46">
        <f t="shared" ca="1" si="278"/>
        <v>0</v>
      </c>
      <c r="O363" s="46">
        <f t="shared" ca="1" si="267"/>
        <v>0</v>
      </c>
      <c r="P363" s="46">
        <f t="shared" ca="1" si="268"/>
        <v>0</v>
      </c>
      <c r="Q363" s="46">
        <f t="shared" ref="Q363:S363" ca="1" si="279">Q364+Q365</f>
        <v>0</v>
      </c>
      <c r="R363" s="46">
        <f t="shared" ca="1" si="279"/>
        <v>0</v>
      </c>
      <c r="S363" s="46">
        <f t="shared" ca="1" si="279"/>
        <v>0</v>
      </c>
      <c r="T363" s="46">
        <f t="shared" ca="1" si="270"/>
        <v>0</v>
      </c>
      <c r="U363" s="46">
        <f t="shared" ca="1" si="271"/>
        <v>0</v>
      </c>
    </row>
    <row r="364" spans="1:21" ht="18.75" x14ac:dyDescent="0.25">
      <c r="A364" s="128"/>
      <c r="B364" s="40"/>
      <c r="C364" s="40"/>
      <c r="D364" s="40"/>
      <c r="E364" s="47" t="s">
        <v>20</v>
      </c>
      <c r="F364" s="40"/>
      <c r="G364" s="42"/>
      <c r="H364" s="134" t="s">
        <v>14</v>
      </c>
      <c r="I364" s="135"/>
      <c r="J364" s="135"/>
      <c r="K364" s="136"/>
      <c r="L364" s="46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4" s="46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4" s="46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4" s="46">
        <f t="shared" ca="1" si="267"/>
        <v>0</v>
      </c>
      <c r="P364" s="46">
        <f t="shared" ca="1" si="268"/>
        <v>0</v>
      </c>
      <c r="Q364" s="46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4" s="46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4" s="46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4" s="48">
        <f t="shared" ca="1" si="270"/>
        <v>0</v>
      </c>
      <c r="U364" s="48">
        <f t="shared" ca="1" si="271"/>
        <v>0</v>
      </c>
    </row>
    <row r="365" spans="1:21" ht="18.75" x14ac:dyDescent="0.25">
      <c r="A365" s="128"/>
      <c r="B365" s="40"/>
      <c r="C365" s="40"/>
      <c r="D365" s="40"/>
      <c r="E365" s="47" t="s">
        <v>21</v>
      </c>
      <c r="F365" s="40"/>
      <c r="G365" s="42"/>
      <c r="H365" s="137" t="s">
        <v>14</v>
      </c>
      <c r="I365" s="135"/>
      <c r="J365" s="135"/>
      <c r="K365" s="136"/>
      <c r="L365" s="46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5" s="46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5" s="46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5" s="46">
        <f t="shared" ca="1" si="267"/>
        <v>0</v>
      </c>
      <c r="P365" s="46">
        <f t="shared" ca="1" si="268"/>
        <v>0</v>
      </c>
      <c r="Q365" s="46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5" s="46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5" s="46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5" s="46">
        <f t="shared" ca="1" si="270"/>
        <v>0</v>
      </c>
      <c r="U365" s="46">
        <f t="shared" ca="1" si="271"/>
        <v>0</v>
      </c>
    </row>
    <row r="366" spans="1:21" ht="19.5" x14ac:dyDescent="0.3">
      <c r="A366" s="229"/>
      <c r="B366" s="230"/>
      <c r="C366" s="232"/>
      <c r="D366" s="330" t="s">
        <v>149</v>
      </c>
      <c r="E366" s="232"/>
      <c r="F366" s="232"/>
      <c r="G366" s="233"/>
      <c r="H366" s="332" t="s">
        <v>35</v>
      </c>
      <c r="I366" s="235">
        <f t="shared" ref="I366:J366" ca="1" si="280">I372</f>
        <v>1780</v>
      </c>
      <c r="J366" s="235">
        <f t="shared" ca="1" si="280"/>
        <v>2133</v>
      </c>
      <c r="K366" s="236">
        <f ca="1">IF(I366&gt;0,J366*100/I366,0)</f>
        <v>119.8314606741573</v>
      </c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29" t="s">
        <v>18</v>
      </c>
      <c r="D367" s="140" t="s">
        <v>38</v>
      </c>
      <c r="E367" s="141"/>
      <c r="F367" s="141"/>
      <c r="G367" s="142"/>
      <c r="H367" s="143"/>
      <c r="I367" s="44"/>
      <c r="J367" s="44"/>
      <c r="K367" s="45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1325)</f>
        <v>1325</v>
      </c>
      <c r="K368" s="46">
        <f t="shared" ref="K368:K373" si="281">IF(I368&gt;0,J368*100/I368,0)</f>
        <v>0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15810)</f>
        <v>15810</v>
      </c>
      <c r="J369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11457.4399999999)</f>
        <v>11457.4399999999</v>
      </c>
      <c r="K369" s="46">
        <f t="shared" ca="1" si="281"/>
        <v>72.469576217583167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2675)</f>
        <v>2675</v>
      </c>
      <c r="J370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2666)</f>
        <v>2666</v>
      </c>
      <c r="K370" s="46">
        <f t="shared" ca="1" si="281"/>
        <v>99.663551401869157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31859.24)</f>
        <v>31859.24</v>
      </c>
      <c r="K371" s="46">
        <f t="shared" si="281"/>
        <v>0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333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1780)</f>
        <v>1780</v>
      </c>
      <c r="J372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2133)</f>
        <v>2133</v>
      </c>
      <c r="K372" s="46">
        <f t="shared" ca="1" si="281"/>
        <v>119.8314606741573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27076.23)</f>
        <v>27076.23</v>
      </c>
      <c r="K373" s="46">
        <f t="shared" si="281"/>
        <v>0</v>
      </c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324"/>
      <c r="B375" s="335" t="s">
        <v>153</v>
      </c>
      <c r="C375" s="325"/>
      <c r="D375" s="326"/>
      <c r="E375" s="318"/>
      <c r="F375" s="318"/>
      <c r="G375" s="319"/>
      <c r="H375" s="336" t="s">
        <v>46</v>
      </c>
      <c r="I375" s="321">
        <f ca="1">I386</f>
        <v>0</v>
      </c>
      <c r="J375" s="321">
        <f ca="1">J387+J389</f>
        <v>322</v>
      </c>
      <c r="K375" s="322">
        <f ca="1">IF(I375&gt;0,J375*100/I375,0)</f>
        <v>0</v>
      </c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162" t="s">
        <v>18</v>
      </c>
      <c r="D376" s="337" t="s">
        <v>19</v>
      </c>
      <c r="E376" s="159"/>
      <c r="F376" s="159"/>
      <c r="G376" s="193"/>
      <c r="H376" s="131" t="s">
        <v>14</v>
      </c>
      <c r="I376" s="44"/>
      <c r="J376" s="44"/>
      <c r="K376" s="45"/>
      <c r="L376" s="132">
        <f t="shared" ref="L376:N376" ca="1" si="282">L377+L378</f>
        <v>0</v>
      </c>
      <c r="M376" s="132">
        <f t="shared" ca="1" si="282"/>
        <v>0</v>
      </c>
      <c r="N376" s="132">
        <f t="shared" ca="1" si="282"/>
        <v>0</v>
      </c>
      <c r="O376" s="132">
        <f t="shared" ref="O376:O384" ca="1" si="283">IF(L376&gt;0,N376*100/L376,0)</f>
        <v>0</v>
      </c>
      <c r="P376" s="132">
        <f t="shared" ref="P376:P384" ca="1" si="284">IF(M376&gt;0,N376*100/M376,0)</f>
        <v>0</v>
      </c>
      <c r="Q376" s="132">
        <f t="shared" ref="Q376:S376" ca="1" si="285">Q377+Q378</f>
        <v>618750</v>
      </c>
      <c r="R376" s="132">
        <f t="shared" ca="1" si="285"/>
        <v>0</v>
      </c>
      <c r="S376" s="132">
        <f t="shared" ca="1" si="285"/>
        <v>0</v>
      </c>
      <c r="T376" s="132">
        <f t="shared" ref="T376:T384" ca="1" si="286">IF(Q376&gt;0,S376*100/Q376,0)</f>
        <v>0</v>
      </c>
      <c r="U376" s="132">
        <f t="shared" ref="U376:U384" ca="1" si="287">IF(R376&gt;0,S376*100/R376,0)</f>
        <v>0</v>
      </c>
    </row>
    <row r="377" spans="1:21" ht="18.75" x14ac:dyDescent="0.25">
      <c r="A377" s="128"/>
      <c r="B377" s="159"/>
      <c r="C377" s="159"/>
      <c r="D377" s="159"/>
      <c r="E377" s="157" t="s">
        <v>20</v>
      </c>
      <c r="F377" s="40"/>
      <c r="G377" s="42"/>
      <c r="H377" s="158" t="s">
        <v>14</v>
      </c>
      <c r="I377" s="44"/>
      <c r="J377" s="44"/>
      <c r="K377" s="45"/>
      <c r="L377" s="48">
        <f t="shared" ref="L377:N377" ca="1" si="288">L380+L383</f>
        <v>0</v>
      </c>
      <c r="M377" s="48">
        <f t="shared" ca="1" si="288"/>
        <v>0</v>
      </c>
      <c r="N377" s="48">
        <f t="shared" ca="1" si="288"/>
        <v>0</v>
      </c>
      <c r="O377" s="48">
        <f t="shared" ca="1" si="283"/>
        <v>0</v>
      </c>
      <c r="P377" s="48">
        <f t="shared" ca="1" si="284"/>
        <v>0</v>
      </c>
      <c r="Q377" s="48">
        <f t="shared" ref="Q377:S377" ca="1" si="289">Q380+Q383</f>
        <v>0</v>
      </c>
      <c r="R377" s="48">
        <f t="shared" ca="1" si="289"/>
        <v>0</v>
      </c>
      <c r="S377" s="48">
        <f t="shared" ca="1" si="289"/>
        <v>0</v>
      </c>
      <c r="T377" s="48">
        <f t="shared" ca="1" si="286"/>
        <v>0</v>
      </c>
      <c r="U377" s="48">
        <f t="shared" ca="1" si="287"/>
        <v>0</v>
      </c>
    </row>
    <row r="378" spans="1:21" ht="18.75" x14ac:dyDescent="0.25">
      <c r="A378" s="128"/>
      <c r="B378" s="159"/>
      <c r="C378" s="159"/>
      <c r="D378" s="159"/>
      <c r="E378" s="47" t="s">
        <v>21</v>
      </c>
      <c r="F378" s="40"/>
      <c r="G378" s="42"/>
      <c r="H378" s="133" t="s">
        <v>14</v>
      </c>
      <c r="I378" s="44"/>
      <c r="J378" s="44"/>
      <c r="K378" s="45"/>
      <c r="L378" s="46">
        <f t="shared" ref="L378:N378" ca="1" si="290">L381+L384</f>
        <v>0</v>
      </c>
      <c r="M378" s="46">
        <f t="shared" ca="1" si="290"/>
        <v>0</v>
      </c>
      <c r="N378" s="46">
        <f t="shared" ca="1" si="290"/>
        <v>0</v>
      </c>
      <c r="O378" s="46">
        <f t="shared" ca="1" si="283"/>
        <v>0</v>
      </c>
      <c r="P378" s="46">
        <f t="shared" ca="1" si="284"/>
        <v>0</v>
      </c>
      <c r="Q378" s="46">
        <f t="shared" ref="Q378:S378" ca="1" si="291">Q381+Q384</f>
        <v>618750</v>
      </c>
      <c r="R378" s="46">
        <f t="shared" ca="1" si="291"/>
        <v>0</v>
      </c>
      <c r="S378" s="46">
        <f t="shared" ca="1" si="291"/>
        <v>0</v>
      </c>
      <c r="T378" s="46">
        <f t="shared" ca="1" si="286"/>
        <v>0</v>
      </c>
      <c r="U378" s="46">
        <f t="shared" ca="1" si="287"/>
        <v>0</v>
      </c>
    </row>
    <row r="379" spans="1:21" ht="18.75" x14ac:dyDescent="0.25">
      <c r="A379" s="128"/>
      <c r="B379" s="159"/>
      <c r="C379" s="159"/>
      <c r="D379" s="161" t="s">
        <v>22</v>
      </c>
      <c r="E379" s="40"/>
      <c r="F379" s="40"/>
      <c r="G379" s="42"/>
      <c r="H379" s="134" t="s">
        <v>14</v>
      </c>
      <c r="I379" s="135"/>
      <c r="J379" s="135"/>
      <c r="K379" s="136"/>
      <c r="L379" s="46">
        <f t="shared" ref="L379:N379" ca="1" si="292">L380+L381</f>
        <v>0</v>
      </c>
      <c r="M379" s="46">
        <f t="shared" ca="1" si="292"/>
        <v>0</v>
      </c>
      <c r="N379" s="46">
        <f t="shared" ca="1" si="292"/>
        <v>0</v>
      </c>
      <c r="O379" s="46">
        <f t="shared" ca="1" si="283"/>
        <v>0</v>
      </c>
      <c r="P379" s="46">
        <f t="shared" ca="1" si="284"/>
        <v>0</v>
      </c>
      <c r="Q379" s="46">
        <f t="shared" ref="Q379:S379" ca="1" si="293">Q380+Q381</f>
        <v>618750</v>
      </c>
      <c r="R379" s="46">
        <f t="shared" ca="1" si="293"/>
        <v>0</v>
      </c>
      <c r="S379" s="46">
        <f t="shared" ca="1" si="293"/>
        <v>0</v>
      </c>
      <c r="T379" s="46">
        <f t="shared" ca="1" si="286"/>
        <v>0</v>
      </c>
      <c r="U379" s="46">
        <f t="shared" ca="1" si="287"/>
        <v>0</v>
      </c>
    </row>
    <row r="380" spans="1:21" ht="18.75" x14ac:dyDescent="0.25">
      <c r="A380" s="128"/>
      <c r="B380" s="159"/>
      <c r="C380" s="159"/>
      <c r="D380" s="159"/>
      <c r="E380" s="157" t="s">
        <v>36</v>
      </c>
      <c r="F380" s="40"/>
      <c r="G380" s="42"/>
      <c r="H380" s="160" t="s">
        <v>14</v>
      </c>
      <c r="I380" s="135"/>
      <c r="J380" s="135"/>
      <c r="K380" s="136"/>
      <c r="L380" s="48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80" s="48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80" s="48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80" s="48">
        <f t="shared" ca="1" si="283"/>
        <v>0</v>
      </c>
      <c r="P380" s="48">
        <f t="shared" ca="1" si="284"/>
        <v>0</v>
      </c>
      <c r="Q380" s="48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80" s="48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80" s="48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80" s="48">
        <f t="shared" ca="1" si="286"/>
        <v>0</v>
      </c>
      <c r="U380" s="48">
        <f t="shared" ca="1" si="287"/>
        <v>0</v>
      </c>
    </row>
    <row r="381" spans="1:21" ht="18.75" x14ac:dyDescent="0.25">
      <c r="A381" s="128"/>
      <c r="B381" s="159"/>
      <c r="C381" s="159"/>
      <c r="D381" s="159"/>
      <c r="E381" s="225" t="s">
        <v>37</v>
      </c>
      <c r="F381" s="159"/>
      <c r="G381" s="193"/>
      <c r="H381" s="134" t="s">
        <v>14</v>
      </c>
      <c r="I381" s="135"/>
      <c r="J381" s="135"/>
      <c r="K381" s="136"/>
      <c r="L381" s="46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0)</f>
        <v>0</v>
      </c>
      <c r="M381" s="46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0)</f>
        <v>0</v>
      </c>
      <c r="N381" s="46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0)</f>
        <v>0</v>
      </c>
      <c r="O381" s="46">
        <f t="shared" ca="1" si="283"/>
        <v>0</v>
      </c>
      <c r="P381" s="46">
        <f t="shared" ca="1" si="284"/>
        <v>0</v>
      </c>
      <c r="Q381" s="46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1" s="46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0)</f>
        <v>0</v>
      </c>
      <c r="S381" s="46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0)</f>
        <v>0</v>
      </c>
      <c r="T381" s="46">
        <f t="shared" ca="1" si="286"/>
        <v>0</v>
      </c>
      <c r="U381" s="46">
        <f t="shared" ca="1" si="287"/>
        <v>0</v>
      </c>
    </row>
    <row r="382" spans="1:21" ht="18.75" x14ac:dyDescent="0.25">
      <c r="A382" s="128"/>
      <c r="B382" s="159"/>
      <c r="C382" s="159"/>
      <c r="D382" s="161" t="s">
        <v>23</v>
      </c>
      <c r="E382" s="40"/>
      <c r="F382" s="40"/>
      <c r="G382" s="42"/>
      <c r="H382" s="137" t="s">
        <v>14</v>
      </c>
      <c r="I382" s="135"/>
      <c r="J382" s="135"/>
      <c r="K382" s="136"/>
      <c r="L382" s="46">
        <f t="shared" ref="L382:N382" ca="1" si="294">L383+L384</f>
        <v>0</v>
      </c>
      <c r="M382" s="46">
        <f t="shared" ca="1" si="294"/>
        <v>0</v>
      </c>
      <c r="N382" s="46">
        <f t="shared" ca="1" si="294"/>
        <v>0</v>
      </c>
      <c r="O382" s="46">
        <f t="shared" ca="1" si="283"/>
        <v>0</v>
      </c>
      <c r="P382" s="46">
        <f t="shared" ca="1" si="284"/>
        <v>0</v>
      </c>
      <c r="Q382" s="46">
        <f t="shared" ref="Q382:S382" ca="1" si="295">Q383+Q384</f>
        <v>0</v>
      </c>
      <c r="R382" s="46">
        <f t="shared" ca="1" si="295"/>
        <v>0</v>
      </c>
      <c r="S382" s="46">
        <f t="shared" ca="1" si="295"/>
        <v>0</v>
      </c>
      <c r="T382" s="46">
        <f t="shared" ca="1" si="286"/>
        <v>0</v>
      </c>
      <c r="U382" s="46">
        <f t="shared" ca="1" si="287"/>
        <v>0</v>
      </c>
    </row>
    <row r="383" spans="1:21" ht="18.75" x14ac:dyDescent="0.25">
      <c r="A383" s="128"/>
      <c r="B383" s="159"/>
      <c r="C383" s="159"/>
      <c r="D383" s="159"/>
      <c r="E383" s="157" t="s">
        <v>20</v>
      </c>
      <c r="F383" s="40"/>
      <c r="G383" s="42"/>
      <c r="H383" s="160" t="s">
        <v>14</v>
      </c>
      <c r="I383" s="135"/>
      <c r="J383" s="135"/>
      <c r="K383" s="136"/>
      <c r="L383" s="48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3" s="48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3" s="48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3" s="48">
        <f t="shared" ca="1" si="283"/>
        <v>0</v>
      </c>
      <c r="P383" s="48">
        <f t="shared" ca="1" si="284"/>
        <v>0</v>
      </c>
      <c r="Q383" s="48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3" s="48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3" s="48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3" s="48">
        <f t="shared" ca="1" si="286"/>
        <v>0</v>
      </c>
      <c r="U383" s="48">
        <f t="shared" ca="1" si="287"/>
        <v>0</v>
      </c>
    </row>
    <row r="384" spans="1:21" ht="18.75" x14ac:dyDescent="0.25">
      <c r="A384" s="128"/>
      <c r="B384" s="159"/>
      <c r="C384" s="159"/>
      <c r="D384" s="159"/>
      <c r="E384" s="47" t="s">
        <v>21</v>
      </c>
      <c r="F384" s="40"/>
      <c r="G384" s="42"/>
      <c r="H384" s="137" t="s">
        <v>14</v>
      </c>
      <c r="I384" s="135"/>
      <c r="J384" s="135"/>
      <c r="K384" s="136"/>
      <c r="L384" s="46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4" s="46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4" s="46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4" s="46">
        <f t="shared" ca="1" si="283"/>
        <v>0</v>
      </c>
      <c r="P384" s="46">
        <f t="shared" ca="1" si="284"/>
        <v>0</v>
      </c>
      <c r="Q384" s="46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4" s="46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4" s="46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4" s="46">
        <f t="shared" ca="1" si="286"/>
        <v>0</v>
      </c>
      <c r="U384" s="46">
        <f t="shared" ca="1" si="287"/>
        <v>0</v>
      </c>
    </row>
    <row r="385" spans="1:21" ht="19.5" x14ac:dyDescent="0.3">
      <c r="A385" s="138"/>
      <c r="B385" s="139"/>
      <c r="C385" s="162" t="s">
        <v>18</v>
      </c>
      <c r="D385" s="338" t="s">
        <v>38</v>
      </c>
      <c r="E385" s="141"/>
      <c r="F385" s="141"/>
      <c r="G385" s="142"/>
      <c r="H385" s="191"/>
      <c r="I385" s="135"/>
      <c r="J385" s="44"/>
      <c r="K385" s="45"/>
      <c r="L385" s="45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47" t="s">
        <v>154</v>
      </c>
      <c r="F386" s="40"/>
      <c r="G386" s="42"/>
      <c r="H386" s="133" t="s">
        <v>34</v>
      </c>
      <c r="I386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6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20)</f>
        <v>20</v>
      </c>
      <c r="K386" s="46">
        <f t="shared" ref="K386:K389" ca="1" si="296">IF(I386&gt;0,J386*100/I386,0)</f>
        <v>0</v>
      </c>
      <c r="L386" s="4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7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322)</f>
        <v>322</v>
      </c>
      <c r="K387" s="46">
        <f t="shared" ca="1" si="296"/>
        <v>3.2525252525252526</v>
      </c>
      <c r="L387" s="4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159"/>
      <c r="B388" s="159"/>
      <c r="C388" s="159"/>
      <c r="D388" s="159"/>
      <c r="E388" s="339" t="s">
        <v>155</v>
      </c>
      <c r="F388" s="159"/>
      <c r="G388" s="193"/>
      <c r="H388" s="158" t="s">
        <v>34</v>
      </c>
      <c r="I388" s="340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8" s="340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8" s="48">
        <f t="shared" ca="1" si="296"/>
        <v>0</v>
      </c>
      <c r="L388" s="4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8.75" x14ac:dyDescent="0.25">
      <c r="A389" s="159"/>
      <c r="B389" s="159"/>
      <c r="C389" s="159"/>
      <c r="D389" s="159"/>
      <c r="E389" s="159"/>
      <c r="F389" s="159"/>
      <c r="G389" s="193"/>
      <c r="H389" s="158" t="s">
        <v>46</v>
      </c>
      <c r="I389" s="340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9" s="340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9" s="48">
        <f t="shared" ca="1" si="296"/>
        <v>0</v>
      </c>
      <c r="L389" s="45"/>
      <c r="M389" s="45"/>
      <c r="N389" s="45"/>
      <c r="O389" s="45"/>
      <c r="P389" s="45"/>
      <c r="Q389" s="45"/>
      <c r="R389" s="45"/>
      <c r="S389" s="45"/>
      <c r="T389" s="45"/>
      <c r="U389" s="45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45">
        <f t="shared" ref="I392:J392" si="297">I403</f>
        <v>0</v>
      </c>
      <c r="J392" s="345">
        <f t="shared" si="297"/>
        <v>0</v>
      </c>
      <c r="K392" s="322">
        <f>IF(I392&gt;0,J392*100/I392,0)</f>
        <v>0</v>
      </c>
      <c r="L392" s="323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162" t="s">
        <v>18</v>
      </c>
      <c r="D393" s="337" t="s">
        <v>19</v>
      </c>
      <c r="E393" s="40"/>
      <c r="F393" s="40"/>
      <c r="G393" s="42"/>
      <c r="H393" s="131" t="s">
        <v>14</v>
      </c>
      <c r="I393" s="44"/>
      <c r="J393" s="44"/>
      <c r="K393" s="45"/>
      <c r="L393" s="132">
        <f t="shared" ref="L393:N393" ca="1" si="298">L394+L395</f>
        <v>0</v>
      </c>
      <c r="M393" s="132">
        <f t="shared" ca="1" si="298"/>
        <v>0</v>
      </c>
      <c r="N393" s="132">
        <f t="shared" ca="1" si="298"/>
        <v>0</v>
      </c>
      <c r="O393" s="132">
        <f t="shared" ref="O393:O401" ca="1" si="299">IF(L393&gt;0,N393*100/L393,0)</f>
        <v>0</v>
      </c>
      <c r="P393" s="132">
        <f t="shared" ref="P393:P401" ca="1" si="300">IF(M393&gt;0,N393*100/M393,0)</f>
        <v>0</v>
      </c>
      <c r="Q393" s="132">
        <f t="shared" ref="Q393:S393" ca="1" si="301">Q394+Q395</f>
        <v>0</v>
      </c>
      <c r="R393" s="132">
        <f t="shared" ca="1" si="301"/>
        <v>0</v>
      </c>
      <c r="S393" s="132">
        <f t="shared" ca="1" si="301"/>
        <v>0</v>
      </c>
      <c r="T393" s="132">
        <f t="shared" ref="T393:T401" ca="1" si="302">IF(Q393&gt;0,S393*100/Q393,0)</f>
        <v>0</v>
      </c>
      <c r="U393" s="132">
        <f t="shared" ref="U393:U401" ca="1" si="30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0"/>
      <c r="G394" s="42"/>
      <c r="H394" s="158" t="s">
        <v>14</v>
      </c>
      <c r="I394" s="44"/>
      <c r="J394" s="44"/>
      <c r="K394" s="45"/>
      <c r="L394" s="48">
        <f t="shared" ref="L394:N394" ca="1" si="304">L397+L400</f>
        <v>0</v>
      </c>
      <c r="M394" s="48">
        <f t="shared" ca="1" si="304"/>
        <v>0</v>
      </c>
      <c r="N394" s="48">
        <f t="shared" ca="1" si="304"/>
        <v>0</v>
      </c>
      <c r="O394" s="48">
        <f t="shared" ca="1" si="299"/>
        <v>0</v>
      </c>
      <c r="P394" s="48">
        <f t="shared" ca="1" si="300"/>
        <v>0</v>
      </c>
      <c r="Q394" s="48">
        <f t="shared" ref="Q394:S394" ca="1" si="305">Q397+Q400</f>
        <v>0</v>
      </c>
      <c r="R394" s="48">
        <f t="shared" ca="1" si="305"/>
        <v>0</v>
      </c>
      <c r="S394" s="48">
        <f t="shared" ca="1" si="305"/>
        <v>0</v>
      </c>
      <c r="T394" s="48">
        <f t="shared" ca="1" si="302"/>
        <v>0</v>
      </c>
      <c r="U394" s="48">
        <f t="shared" ca="1" si="303"/>
        <v>0</v>
      </c>
    </row>
    <row r="395" spans="1:21" ht="18.75" hidden="1" x14ac:dyDescent="0.25">
      <c r="A395" s="128"/>
      <c r="B395" s="159"/>
      <c r="C395" s="159"/>
      <c r="D395" s="159"/>
      <c r="E395" s="47" t="s">
        <v>21</v>
      </c>
      <c r="F395" s="40"/>
      <c r="G395" s="42"/>
      <c r="H395" s="133" t="s">
        <v>14</v>
      </c>
      <c r="I395" s="44"/>
      <c r="J395" s="44"/>
      <c r="K395" s="45"/>
      <c r="L395" s="46">
        <f t="shared" ref="L395:N395" ca="1" si="306">L398+L401</f>
        <v>0</v>
      </c>
      <c r="M395" s="46">
        <f t="shared" ca="1" si="306"/>
        <v>0</v>
      </c>
      <c r="N395" s="46">
        <f t="shared" ca="1" si="306"/>
        <v>0</v>
      </c>
      <c r="O395" s="46">
        <f t="shared" ca="1" si="299"/>
        <v>0</v>
      </c>
      <c r="P395" s="46">
        <f t="shared" ca="1" si="300"/>
        <v>0</v>
      </c>
      <c r="Q395" s="46">
        <f t="shared" ref="Q395:S395" ca="1" si="307">Q398+Q401</f>
        <v>0</v>
      </c>
      <c r="R395" s="46">
        <f t="shared" ca="1" si="307"/>
        <v>0</v>
      </c>
      <c r="S395" s="46">
        <f t="shared" ca="1" si="307"/>
        <v>0</v>
      </c>
      <c r="T395" s="46">
        <f t="shared" ca="1" si="302"/>
        <v>0</v>
      </c>
      <c r="U395" s="46">
        <f t="shared" ca="1" si="303"/>
        <v>0</v>
      </c>
    </row>
    <row r="396" spans="1:21" ht="18.75" hidden="1" x14ac:dyDescent="0.25">
      <c r="A396" s="128"/>
      <c r="B396" s="159"/>
      <c r="C396" s="159"/>
      <c r="D396" s="161" t="s">
        <v>22</v>
      </c>
      <c r="E396" s="40"/>
      <c r="F396" s="40"/>
      <c r="G396" s="42"/>
      <c r="H396" s="134" t="s">
        <v>14</v>
      </c>
      <c r="I396" s="135"/>
      <c r="J396" s="135"/>
      <c r="K396" s="136"/>
      <c r="L396" s="46">
        <f t="shared" ref="L396:N396" ca="1" si="308">L397+L398</f>
        <v>0</v>
      </c>
      <c r="M396" s="46">
        <f t="shared" ca="1" si="308"/>
        <v>0</v>
      </c>
      <c r="N396" s="46">
        <f t="shared" ca="1" si="308"/>
        <v>0</v>
      </c>
      <c r="O396" s="46">
        <f t="shared" ca="1" si="299"/>
        <v>0</v>
      </c>
      <c r="P396" s="46">
        <f t="shared" ca="1" si="300"/>
        <v>0</v>
      </c>
      <c r="Q396" s="46">
        <f t="shared" ref="Q396:S396" ca="1" si="309">Q397+Q398</f>
        <v>0</v>
      </c>
      <c r="R396" s="46">
        <f t="shared" ca="1" si="309"/>
        <v>0</v>
      </c>
      <c r="S396" s="46">
        <f t="shared" ca="1" si="309"/>
        <v>0</v>
      </c>
      <c r="T396" s="46">
        <f t="shared" ca="1" si="302"/>
        <v>0</v>
      </c>
      <c r="U396" s="46">
        <f t="shared" ca="1" si="30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0"/>
      <c r="G397" s="42"/>
      <c r="H397" s="160" t="s">
        <v>14</v>
      </c>
      <c r="I397" s="135"/>
      <c r="J397" s="135"/>
      <c r="K397" s="136"/>
      <c r="L397" s="48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7" s="48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7" s="48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7" s="48">
        <f t="shared" ca="1" si="299"/>
        <v>0</v>
      </c>
      <c r="P397" s="48">
        <f t="shared" ca="1" si="300"/>
        <v>0</v>
      </c>
      <c r="Q397" s="48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7" s="48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7" s="48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7" s="48">
        <f t="shared" ca="1" si="302"/>
        <v>0</v>
      </c>
      <c r="U397" s="48">
        <f t="shared" ca="1" si="303"/>
        <v>0</v>
      </c>
    </row>
    <row r="398" spans="1:21" ht="18.75" hidden="1" x14ac:dyDescent="0.25">
      <c r="A398" s="128"/>
      <c r="B398" s="159"/>
      <c r="C398" s="159"/>
      <c r="D398" s="159"/>
      <c r="E398" s="225" t="s">
        <v>37</v>
      </c>
      <c r="F398" s="159"/>
      <c r="G398" s="193"/>
      <c r="H398" s="134" t="s">
        <v>14</v>
      </c>
      <c r="I398" s="135"/>
      <c r="J398" s="135"/>
      <c r="K398" s="136"/>
      <c r="L398" s="46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8" s="46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8" s="46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8" s="46">
        <f t="shared" ca="1" si="299"/>
        <v>0</v>
      </c>
      <c r="P398" s="46">
        <f t="shared" ca="1" si="300"/>
        <v>0</v>
      </c>
      <c r="Q398" s="46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8" s="46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8" s="46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8" s="46">
        <f t="shared" ca="1" si="302"/>
        <v>0</v>
      </c>
      <c r="U398" s="46">
        <f t="shared" ca="1" si="303"/>
        <v>0</v>
      </c>
    </row>
    <row r="399" spans="1:21" ht="18.75" hidden="1" x14ac:dyDescent="0.25">
      <c r="A399" s="128"/>
      <c r="B399" s="159"/>
      <c r="C399" s="159"/>
      <c r="D399" s="161" t="s">
        <v>23</v>
      </c>
      <c r="E399" s="40"/>
      <c r="F399" s="40"/>
      <c r="G399" s="42"/>
      <c r="H399" s="137" t="s">
        <v>14</v>
      </c>
      <c r="I399" s="135"/>
      <c r="J399" s="135"/>
      <c r="K399" s="136"/>
      <c r="L399" s="46">
        <f t="shared" ref="L399:N399" ca="1" si="310">L400+L401</f>
        <v>0</v>
      </c>
      <c r="M399" s="46">
        <f t="shared" ca="1" si="310"/>
        <v>0</v>
      </c>
      <c r="N399" s="46">
        <f t="shared" ca="1" si="310"/>
        <v>0</v>
      </c>
      <c r="O399" s="46">
        <f t="shared" ca="1" si="299"/>
        <v>0</v>
      </c>
      <c r="P399" s="46">
        <f t="shared" ca="1" si="300"/>
        <v>0</v>
      </c>
      <c r="Q399" s="46">
        <f t="shared" ref="Q399:S399" ca="1" si="311">Q400+Q401</f>
        <v>0</v>
      </c>
      <c r="R399" s="46">
        <f t="shared" ca="1" si="311"/>
        <v>0</v>
      </c>
      <c r="S399" s="46">
        <f t="shared" ca="1" si="311"/>
        <v>0</v>
      </c>
      <c r="T399" s="46">
        <f t="shared" ca="1" si="302"/>
        <v>0</v>
      </c>
      <c r="U399" s="46">
        <f t="shared" ca="1" si="30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0"/>
      <c r="G400" s="42"/>
      <c r="H400" s="160" t="s">
        <v>14</v>
      </c>
      <c r="I400" s="135"/>
      <c r="J400" s="135"/>
      <c r="K400" s="136"/>
      <c r="L400" s="48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400" s="48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400" s="48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400" s="48">
        <f t="shared" ca="1" si="299"/>
        <v>0</v>
      </c>
      <c r="P400" s="48">
        <f t="shared" ca="1" si="300"/>
        <v>0</v>
      </c>
      <c r="Q400" s="48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400" s="48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400" s="48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400" s="48">
        <f t="shared" ca="1" si="302"/>
        <v>0</v>
      </c>
      <c r="U400" s="48">
        <f t="shared" ca="1" si="303"/>
        <v>0</v>
      </c>
    </row>
    <row r="401" spans="1:21" ht="18.75" hidden="1" x14ac:dyDescent="0.25">
      <c r="A401" s="128"/>
      <c r="B401" s="159"/>
      <c r="C401" s="159"/>
      <c r="D401" s="159"/>
      <c r="E401" s="47" t="s">
        <v>21</v>
      </c>
      <c r="F401" s="40"/>
      <c r="G401" s="42"/>
      <c r="H401" s="137" t="s">
        <v>14</v>
      </c>
      <c r="I401" s="135"/>
      <c r="J401" s="135"/>
      <c r="K401" s="136"/>
      <c r="L401" s="46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1" s="46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1" s="46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1" s="46">
        <f t="shared" ca="1" si="299"/>
        <v>0</v>
      </c>
      <c r="P401" s="46">
        <f t="shared" ca="1" si="300"/>
        <v>0</v>
      </c>
      <c r="Q401" s="46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1" s="46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1" s="46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1" s="46">
        <f t="shared" ca="1" si="302"/>
        <v>0</v>
      </c>
      <c r="U401" s="46">
        <f t="shared" ca="1" si="303"/>
        <v>0</v>
      </c>
    </row>
    <row r="402" spans="1:21" ht="19.5" hidden="1" x14ac:dyDescent="0.3">
      <c r="A402" s="138"/>
      <c r="B402" s="139"/>
      <c r="C402" s="162" t="s">
        <v>18</v>
      </c>
      <c r="D402" s="338" t="s">
        <v>38</v>
      </c>
      <c r="E402" s="141"/>
      <c r="F402" s="141"/>
      <c r="G402" s="142"/>
      <c r="H402" s="191"/>
      <c r="I402" s="135"/>
      <c r="J402" s="44"/>
      <c r="K402" s="45"/>
      <c r="L402" s="45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312">I424</f>
        <v>0</v>
      </c>
      <c r="J413" s="321">
        <f t="shared" ca="1" si="312"/>
        <v>0</v>
      </c>
      <c r="K413" s="322">
        <f ca="1">IF(I413&gt;0,J413*100/I413,0)</f>
        <v>0</v>
      </c>
      <c r="L413" s="323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x14ac:dyDescent="0.3">
      <c r="A414" s="128"/>
      <c r="B414" s="159"/>
      <c r="C414" s="348" t="s">
        <v>18</v>
      </c>
      <c r="D414" s="488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132">
        <f t="shared" ref="L414:N414" ca="1" si="313">L415+L416</f>
        <v>0</v>
      </c>
      <c r="M414" s="132">
        <f t="shared" ca="1" si="313"/>
        <v>0</v>
      </c>
      <c r="N414" s="132">
        <f t="shared" ca="1" si="313"/>
        <v>0</v>
      </c>
      <c r="O414" s="132">
        <f t="shared" ref="O414:O422" ca="1" si="314">IF(L414&gt;0,N414*100/L414,0)</f>
        <v>0</v>
      </c>
      <c r="P414" s="132">
        <f t="shared" ref="P414:P422" ca="1" si="315">IF(M414&gt;0,N414*100/M414,0)</f>
        <v>0</v>
      </c>
      <c r="Q414" s="132">
        <f t="shared" ref="Q414:S414" ca="1" si="316">Q415+Q416</f>
        <v>0</v>
      </c>
      <c r="R414" s="132">
        <f t="shared" ca="1" si="316"/>
        <v>0</v>
      </c>
      <c r="S414" s="132">
        <f t="shared" ca="1" si="316"/>
        <v>0</v>
      </c>
      <c r="T414" s="132">
        <f t="shared" ref="T414:T422" ca="1" si="317">IF(Q414&gt;0,S414*100/Q414,0)</f>
        <v>0</v>
      </c>
      <c r="U414" s="132">
        <f t="shared" ref="U414:U422" ca="1" si="318">IF(R414&gt;0,S414*100/R414,0)</f>
        <v>0</v>
      </c>
    </row>
    <row r="415" spans="1:21" ht="18.75" x14ac:dyDescent="0.25">
      <c r="A415" s="128"/>
      <c r="B415" s="159"/>
      <c r="C415" s="159"/>
      <c r="D415" s="159"/>
      <c r="E415" s="339" t="s">
        <v>158</v>
      </c>
      <c r="F415" s="159"/>
      <c r="G415" s="193"/>
      <c r="H415" s="189" t="s">
        <v>14</v>
      </c>
      <c r="I415" s="44"/>
      <c r="J415" s="44"/>
      <c r="K415" s="45"/>
      <c r="L415" s="48">
        <f t="shared" ref="L415:N415" ca="1" si="319">L418+L421</f>
        <v>0</v>
      </c>
      <c r="M415" s="48">
        <f t="shared" ca="1" si="319"/>
        <v>0</v>
      </c>
      <c r="N415" s="48">
        <f t="shared" ca="1" si="319"/>
        <v>0</v>
      </c>
      <c r="O415" s="48">
        <f t="shared" ca="1" si="314"/>
        <v>0</v>
      </c>
      <c r="P415" s="48">
        <f t="shared" ca="1" si="315"/>
        <v>0</v>
      </c>
      <c r="Q415" s="48">
        <f t="shared" ref="Q415:S415" ca="1" si="320">Q418+Q421</f>
        <v>0</v>
      </c>
      <c r="R415" s="48">
        <f t="shared" ca="1" si="320"/>
        <v>0</v>
      </c>
      <c r="S415" s="48">
        <f t="shared" ca="1" si="320"/>
        <v>0</v>
      </c>
      <c r="T415" s="48">
        <f t="shared" ca="1" si="317"/>
        <v>0</v>
      </c>
      <c r="U415" s="48">
        <f t="shared" ca="1" si="318"/>
        <v>0</v>
      </c>
    </row>
    <row r="416" spans="1:21" ht="18.75" x14ac:dyDescent="0.25">
      <c r="A416" s="128"/>
      <c r="B416" s="159"/>
      <c r="C416" s="159"/>
      <c r="D416" s="159"/>
      <c r="E416" s="225" t="s">
        <v>159</v>
      </c>
      <c r="F416" s="159"/>
      <c r="G416" s="193"/>
      <c r="H416" s="188" t="s">
        <v>14</v>
      </c>
      <c r="I416" s="44"/>
      <c r="J416" s="44"/>
      <c r="K416" s="45"/>
      <c r="L416" s="46">
        <f t="shared" ref="L416:N416" ca="1" si="321">L419+L422</f>
        <v>0</v>
      </c>
      <c r="M416" s="46">
        <f t="shared" ca="1" si="321"/>
        <v>0</v>
      </c>
      <c r="N416" s="46">
        <f t="shared" ca="1" si="321"/>
        <v>0</v>
      </c>
      <c r="O416" s="46">
        <f t="shared" ca="1" si="314"/>
        <v>0</v>
      </c>
      <c r="P416" s="46">
        <f t="shared" ca="1" si="315"/>
        <v>0</v>
      </c>
      <c r="Q416" s="46">
        <f t="shared" ref="Q416:S416" ca="1" si="322">Q419+Q422</f>
        <v>0</v>
      </c>
      <c r="R416" s="46">
        <f t="shared" ca="1" si="322"/>
        <v>0</v>
      </c>
      <c r="S416" s="46">
        <f t="shared" ca="1" si="322"/>
        <v>0</v>
      </c>
      <c r="T416" s="46">
        <f t="shared" ca="1" si="317"/>
        <v>0</v>
      </c>
      <c r="U416" s="46">
        <f t="shared" ca="1" si="318"/>
        <v>0</v>
      </c>
    </row>
    <row r="417" spans="1:21" ht="19.5" x14ac:dyDescent="0.3">
      <c r="A417" s="128"/>
      <c r="B417" s="159"/>
      <c r="C417" s="159"/>
      <c r="D417" s="337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46">
        <f t="shared" ref="L417:N417" ca="1" si="323">L418+L419</f>
        <v>0</v>
      </c>
      <c r="M417" s="46">
        <f t="shared" ca="1" si="323"/>
        <v>0</v>
      </c>
      <c r="N417" s="46">
        <f t="shared" ca="1" si="323"/>
        <v>0</v>
      </c>
      <c r="O417" s="46">
        <f t="shared" ca="1" si="314"/>
        <v>0</v>
      </c>
      <c r="P417" s="46">
        <f t="shared" ca="1" si="315"/>
        <v>0</v>
      </c>
      <c r="Q417" s="46">
        <f t="shared" ref="Q417:S417" ca="1" si="324">Q418+Q419</f>
        <v>0</v>
      </c>
      <c r="R417" s="46">
        <f t="shared" ca="1" si="324"/>
        <v>0</v>
      </c>
      <c r="S417" s="46">
        <f t="shared" ca="1" si="324"/>
        <v>0</v>
      </c>
      <c r="T417" s="46">
        <f t="shared" ca="1" si="317"/>
        <v>0</v>
      </c>
      <c r="U417" s="46">
        <f t="shared" ca="1" si="318"/>
        <v>0</v>
      </c>
    </row>
    <row r="418" spans="1:21" ht="18.75" x14ac:dyDescent="0.25">
      <c r="A418" s="128"/>
      <c r="B418" s="159"/>
      <c r="C418" s="159"/>
      <c r="D418" s="159"/>
      <c r="E418" s="339" t="s">
        <v>158</v>
      </c>
      <c r="F418" s="159"/>
      <c r="G418" s="193"/>
      <c r="H418" s="189" t="s">
        <v>14</v>
      </c>
      <c r="I418" s="44"/>
      <c r="J418" s="44"/>
      <c r="K418" s="45"/>
      <c r="L418" s="48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8" s="48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8" s="48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8" s="48">
        <f t="shared" ca="1" si="314"/>
        <v>0</v>
      </c>
      <c r="P418" s="48">
        <f t="shared" ca="1" si="315"/>
        <v>0</v>
      </c>
      <c r="Q418" s="48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8" s="48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8" s="48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8" s="48">
        <f t="shared" ca="1" si="317"/>
        <v>0</v>
      </c>
      <c r="U418" s="48">
        <f t="shared" ca="1" si="318"/>
        <v>0</v>
      </c>
    </row>
    <row r="419" spans="1:21" ht="18.75" x14ac:dyDescent="0.25">
      <c r="A419" s="128"/>
      <c r="B419" s="159"/>
      <c r="C419" s="159"/>
      <c r="D419" s="159"/>
      <c r="E419" s="225" t="s">
        <v>159</v>
      </c>
      <c r="F419" s="159"/>
      <c r="G419" s="193"/>
      <c r="H419" s="188" t="s">
        <v>14</v>
      </c>
      <c r="I419" s="44"/>
      <c r="J419" s="44"/>
      <c r="K419" s="45"/>
      <c r="L419" s="46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0)</f>
        <v>0</v>
      </c>
      <c r="M419" s="46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0)</f>
        <v>0</v>
      </c>
      <c r="N419" s="46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0)</f>
        <v>0</v>
      </c>
      <c r="O419" s="46">
        <f t="shared" ca="1" si="314"/>
        <v>0</v>
      </c>
      <c r="P419" s="46">
        <f t="shared" ca="1" si="315"/>
        <v>0</v>
      </c>
      <c r="Q419" s="46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0)</f>
        <v>0</v>
      </c>
      <c r="R419" s="46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0)</f>
        <v>0</v>
      </c>
      <c r="S419" s="46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0)</f>
        <v>0</v>
      </c>
      <c r="T419" s="46">
        <f t="shared" ca="1" si="317"/>
        <v>0</v>
      </c>
      <c r="U419" s="46">
        <f t="shared" ca="1" si="318"/>
        <v>0</v>
      </c>
    </row>
    <row r="420" spans="1:21" ht="19.5" x14ac:dyDescent="0.3">
      <c r="A420" s="128"/>
      <c r="B420" s="159"/>
      <c r="C420" s="159"/>
      <c r="D420" s="337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46">
        <f t="shared" ref="L420:N420" ca="1" si="325">L421+L422</f>
        <v>0</v>
      </c>
      <c r="M420" s="46">
        <f t="shared" ca="1" si="325"/>
        <v>0</v>
      </c>
      <c r="N420" s="46">
        <f t="shared" ca="1" si="325"/>
        <v>0</v>
      </c>
      <c r="O420" s="46">
        <f t="shared" ca="1" si="314"/>
        <v>0</v>
      </c>
      <c r="P420" s="46">
        <f t="shared" ca="1" si="315"/>
        <v>0</v>
      </c>
      <c r="Q420" s="46">
        <f t="shared" ref="Q420:S420" ca="1" si="326">Q421+Q422</f>
        <v>0</v>
      </c>
      <c r="R420" s="46">
        <f t="shared" ca="1" si="326"/>
        <v>0</v>
      </c>
      <c r="S420" s="46">
        <f t="shared" ca="1" si="326"/>
        <v>0</v>
      </c>
      <c r="T420" s="46">
        <f t="shared" ca="1" si="317"/>
        <v>0</v>
      </c>
      <c r="U420" s="46">
        <f t="shared" ca="1" si="318"/>
        <v>0</v>
      </c>
    </row>
    <row r="421" spans="1:21" ht="18.75" x14ac:dyDescent="0.25">
      <c r="A421" s="128"/>
      <c r="B421" s="159"/>
      <c r="C421" s="159"/>
      <c r="D421" s="159"/>
      <c r="E421" s="339" t="s">
        <v>20</v>
      </c>
      <c r="F421" s="159"/>
      <c r="G421" s="193"/>
      <c r="H421" s="189" t="s">
        <v>14</v>
      </c>
      <c r="I421" s="44"/>
      <c r="J421" s="44"/>
      <c r="K421" s="45"/>
      <c r="L421" s="48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1" s="48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1" s="48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1" s="48">
        <f t="shared" ca="1" si="314"/>
        <v>0</v>
      </c>
      <c r="P421" s="48">
        <f t="shared" ca="1" si="315"/>
        <v>0</v>
      </c>
      <c r="Q421" s="48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1" s="48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1" s="48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1" s="48">
        <f t="shared" ca="1" si="317"/>
        <v>0</v>
      </c>
      <c r="U421" s="48">
        <f t="shared" ca="1" si="318"/>
        <v>0</v>
      </c>
    </row>
    <row r="422" spans="1:21" ht="18.75" x14ac:dyDescent="0.25">
      <c r="A422" s="128"/>
      <c r="B422" s="159"/>
      <c r="C422" s="159"/>
      <c r="D422" s="159"/>
      <c r="E422" s="225" t="s">
        <v>21</v>
      </c>
      <c r="F422" s="159"/>
      <c r="G422" s="193"/>
      <c r="H422" s="133" t="s">
        <v>14</v>
      </c>
      <c r="I422" s="44"/>
      <c r="J422" s="44"/>
      <c r="K422" s="45"/>
      <c r="L422" s="46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2" s="46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2" s="46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2" s="46">
        <f t="shared" ca="1" si="314"/>
        <v>0</v>
      </c>
      <c r="P422" s="46">
        <f t="shared" ca="1" si="315"/>
        <v>0</v>
      </c>
      <c r="Q422" s="46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2" s="46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2" s="46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2" s="46">
        <f t="shared" ca="1" si="317"/>
        <v>0</v>
      </c>
      <c r="U422" s="46">
        <f t="shared" ca="1" si="318"/>
        <v>0</v>
      </c>
    </row>
    <row r="423" spans="1:21" ht="19.5" x14ac:dyDescent="0.3">
      <c r="A423" s="224"/>
      <c r="B423" s="159"/>
      <c r="C423" s="348" t="s">
        <v>18</v>
      </c>
      <c r="D423" s="350" t="s">
        <v>38</v>
      </c>
      <c r="E423" s="159"/>
      <c r="F423" s="159"/>
      <c r="G423" s="193"/>
      <c r="H423" s="193"/>
      <c r="I423" s="44"/>
      <c r="J423" s="44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327">I441</f>
        <v>0</v>
      </c>
      <c r="J424" s="147">
        <f t="shared" ca="1" si="327"/>
        <v>0</v>
      </c>
      <c r="K424" s="132">
        <f t="shared" ref="K424:K426" ca="1" si="328">IF(I424&gt;0,J424*100/I424,0)</f>
        <v>0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0)</f>
        <v>0</v>
      </c>
      <c r="J425" s="147">
        <f t="shared" ref="J425:J426" ca="1" si="329">J427+J429+J431</f>
        <v>0</v>
      </c>
      <c r="K425" s="132">
        <f t="shared" ca="1" si="328"/>
        <v>0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0)</f>
        <v>0</v>
      </c>
      <c r="J426" s="147">
        <f t="shared" ca="1" si="329"/>
        <v>0</v>
      </c>
      <c r="K426" s="132">
        <f t="shared" ca="1" si="328"/>
        <v>0</v>
      </c>
      <c r="L426" s="4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24"/>
      <c r="B427" s="159"/>
      <c r="C427" s="159"/>
      <c r="D427" s="225" t="s">
        <v>162</v>
      </c>
      <c r="E427" s="159"/>
      <c r="F427" s="159"/>
      <c r="G427" s="193"/>
      <c r="H427" s="133" t="s">
        <v>46</v>
      </c>
      <c r="I427" s="44"/>
      <c r="J427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0)</f>
        <v>0</v>
      </c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0)</f>
        <v>0</v>
      </c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24"/>
      <c r="B429" s="159"/>
      <c r="C429" s="159"/>
      <c r="D429" s="225" t="s">
        <v>163</v>
      </c>
      <c r="E429" s="159"/>
      <c r="F429" s="159"/>
      <c r="G429" s="193"/>
      <c r="H429" s="133" t="s">
        <v>46</v>
      </c>
      <c r="I429" s="44"/>
      <c r="J429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24"/>
      <c r="B431" s="159"/>
      <c r="C431" s="159"/>
      <c r="D431" s="225" t="s">
        <v>164</v>
      </c>
      <c r="E431" s="159"/>
      <c r="F431" s="159"/>
      <c r="G431" s="193"/>
      <c r="H431" s="133" t="s">
        <v>46</v>
      </c>
      <c r="I431" s="44"/>
      <c r="J431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0)</f>
        <v>0</v>
      </c>
      <c r="J433" s="147">
        <f t="shared" ref="J433:J434" ca="1" si="330">J435+J437+J439</f>
        <v>0</v>
      </c>
      <c r="K433" s="132">
        <f t="shared" ref="K433:K434" ca="1" si="331">IF(I433&gt;0,J433*100/I433,0)</f>
        <v>0</v>
      </c>
      <c r="L433" s="4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0)</f>
        <v>0</v>
      </c>
      <c r="J434" s="147">
        <f t="shared" ca="1" si="330"/>
        <v>0</v>
      </c>
      <c r="K434" s="132">
        <f t="shared" ca="1" si="331"/>
        <v>0</v>
      </c>
      <c r="L434" s="4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24"/>
      <c r="B435" s="159"/>
      <c r="C435" s="159"/>
      <c r="D435" s="225" t="s">
        <v>166</v>
      </c>
      <c r="E435" s="159"/>
      <c r="F435" s="159"/>
      <c r="G435" s="193"/>
      <c r="H435" s="133" t="s">
        <v>46</v>
      </c>
      <c r="I435" s="44"/>
      <c r="J435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24"/>
      <c r="B437" s="159"/>
      <c r="C437" s="159"/>
      <c r="D437" s="225" t="s">
        <v>167</v>
      </c>
      <c r="E437" s="159"/>
      <c r="F437" s="159"/>
      <c r="G437" s="193"/>
      <c r="H437" s="133" t="s">
        <v>46</v>
      </c>
      <c r="I437" s="44"/>
      <c r="J437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24"/>
      <c r="B439" s="159"/>
      <c r="C439" s="159"/>
      <c r="D439" s="225" t="s">
        <v>168</v>
      </c>
      <c r="E439" s="159"/>
      <c r="F439" s="159"/>
      <c r="G439" s="193"/>
      <c r="H439" s="133" t="s">
        <v>46</v>
      </c>
      <c r="I439" s="44"/>
      <c r="J439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0)</f>
        <v>0</v>
      </c>
      <c r="J441" s="147">
        <f t="shared" ref="J441:J442" ca="1" si="332">J443+J445+J447+J453+J455</f>
        <v>0</v>
      </c>
      <c r="K441" s="132">
        <f t="shared" ref="K441:K442" ca="1" si="333">IF(I441&gt;0,J441*100/I441,0)</f>
        <v>0</v>
      </c>
      <c r="L441" s="4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0)</f>
        <v>0</v>
      </c>
      <c r="J442" s="147">
        <f t="shared" ca="1" si="332"/>
        <v>0</v>
      </c>
      <c r="K442" s="132">
        <f t="shared" ca="1" si="333"/>
        <v>0</v>
      </c>
      <c r="L442" s="4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24"/>
      <c r="B443" s="159"/>
      <c r="C443" s="159"/>
      <c r="D443" s="225" t="s">
        <v>170</v>
      </c>
      <c r="E443" s="159"/>
      <c r="F443" s="159"/>
      <c r="G443" s="193"/>
      <c r="H443" s="133" t="s">
        <v>46</v>
      </c>
      <c r="I443" s="44"/>
      <c r="J443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24"/>
      <c r="B445" s="159"/>
      <c r="C445" s="159"/>
      <c r="D445" s="225" t="s">
        <v>171</v>
      </c>
      <c r="E445" s="159"/>
      <c r="F445" s="159"/>
      <c r="G445" s="193"/>
      <c r="H445" s="133" t="s">
        <v>46</v>
      </c>
      <c r="I445" s="44"/>
      <c r="J445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24"/>
      <c r="B447" s="159"/>
      <c r="C447" s="159"/>
      <c r="D447" s="225" t="s">
        <v>172</v>
      </c>
      <c r="E447" s="159"/>
      <c r="F447" s="159"/>
      <c r="G447" s="193"/>
      <c r="H447" s="133" t="s">
        <v>46</v>
      </c>
      <c r="I447" s="44"/>
      <c r="J447" s="147">
        <f t="shared" ref="J447:J448" ca="1" si="334">J449+J451</f>
        <v>0</v>
      </c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ca="1" si="334"/>
        <v>0</v>
      </c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24"/>
      <c r="B449" s="159"/>
      <c r="C449" s="159"/>
      <c r="D449" s="159"/>
      <c r="E449" s="225" t="s">
        <v>173</v>
      </c>
      <c r="F449" s="159"/>
      <c r="G449" s="193"/>
      <c r="H449" s="133" t="s">
        <v>46</v>
      </c>
      <c r="I449" s="44"/>
      <c r="J449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24"/>
      <c r="B451" s="159"/>
      <c r="C451" s="159"/>
      <c r="D451" s="159"/>
      <c r="E451" s="225" t="s">
        <v>174</v>
      </c>
      <c r="F451" s="159"/>
      <c r="G451" s="193"/>
      <c r="H451" s="133" t="s">
        <v>46</v>
      </c>
      <c r="I451" s="44"/>
      <c r="J451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24"/>
      <c r="B453" s="159"/>
      <c r="C453" s="159"/>
      <c r="D453" s="225" t="s">
        <v>175</v>
      </c>
      <c r="E453" s="159"/>
      <c r="F453" s="159"/>
      <c r="G453" s="193"/>
      <c r="H453" s="133" t="s">
        <v>46</v>
      </c>
      <c r="I453" s="44"/>
      <c r="J453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24"/>
      <c r="B455" s="159"/>
      <c r="C455" s="159"/>
      <c r="D455" s="225" t="s">
        <v>176</v>
      </c>
      <c r="E455" s="159"/>
      <c r="F455" s="159"/>
      <c r="G455" s="193"/>
      <c r="H455" s="133" t="s">
        <v>46</v>
      </c>
      <c r="I455" s="44"/>
      <c r="J455" s="352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335">I458</f>
        <v>0</v>
      </c>
      <c r="J457" s="147">
        <f t="shared" ca="1" si="335"/>
        <v>0</v>
      </c>
      <c r="K457" s="132">
        <f t="shared" ref="K457:K459" ca="1" si="336">IF(I457&gt;0,J457*100/I457,0)</f>
        <v>0</v>
      </c>
      <c r="L457" s="4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0)</f>
        <v>0</v>
      </c>
      <c r="J458" s="147">
        <f t="shared" ref="J458:J459" ca="1" si="337">J460+J468+J474</f>
        <v>0</v>
      </c>
      <c r="K458" s="132">
        <f t="shared" ca="1" si="336"/>
        <v>0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9" s="147">
        <f t="shared" ca="1" si="337"/>
        <v>0</v>
      </c>
      <c r="K459" s="132">
        <f t="shared" ca="1" si="336"/>
        <v>0</v>
      </c>
      <c r="L459" s="4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24"/>
      <c r="B460" s="159"/>
      <c r="C460" s="225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ca="1" si="338">J462+J464</f>
        <v>0</v>
      </c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ca="1" si="338"/>
        <v>0</v>
      </c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ca="1" si="339">J470+J472</f>
        <v>0</v>
      </c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ca="1" si="339"/>
        <v>0</v>
      </c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24"/>
      <c r="B474" s="159"/>
      <c r="C474" s="225" t="s">
        <v>186</v>
      </c>
      <c r="D474" s="159"/>
      <c r="E474" s="159"/>
      <c r="F474" s="159"/>
      <c r="G474" s="193"/>
      <c r="H474" s="133" t="s">
        <v>46</v>
      </c>
      <c r="I474" s="44"/>
      <c r="J474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 ca="1">J479+J481</f>
        <v>0</v>
      </c>
      <c r="K476" s="132">
        <f t="shared" ref="K476:K478" si="340">IF(I476&gt;0,J476*100/I476,0)</f>
        <v>0</v>
      </c>
      <c r="L476" s="4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ca="1" si="341">J479+J481</f>
        <v>0</v>
      </c>
      <c r="K477" s="132">
        <f t="shared" si="340"/>
        <v>0</v>
      </c>
      <c r="L477" s="4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x14ac:dyDescent="0.3">
      <c r="A478" s="224"/>
      <c r="B478" s="159"/>
      <c r="C478" s="225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ca="1" si="341"/>
        <v>0</v>
      </c>
      <c r="K478" s="132">
        <f t="shared" si="340"/>
        <v>0</v>
      </c>
      <c r="L478" s="4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24"/>
      <c r="B479" s="159"/>
      <c r="C479" s="159"/>
      <c r="D479" s="225" t="s">
        <v>190</v>
      </c>
      <c r="E479" s="159"/>
      <c r="F479" s="159"/>
      <c r="G479" s="193"/>
      <c r="H479" s="133" t="s">
        <v>46</v>
      </c>
      <c r="I479" s="44"/>
      <c r="J479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kKUcYdkIfrgTSj8iHHHB2MD2FAtwyyocFgqGQn6ADyI/edit?usp=sharing"",""กระบี่!J482"")+IMPORTRANGE(""https://docs.google.com/spreadsheets/d/1GwtLaSlNZkLk7iDqcyZz22giiy40b_usZZBXYciEN1U/edit?usp=sharing"",""ชุ"&amp;"มพร!J482"")+IMPORTRANGE(""https://docs.google.com/spreadsheets/d/16pAz3pOhQEZBhvFNMa5KGgZS6iKWpsKX0pg6tQmwFpo/edit?usp=sharing"",""ตรัง!J482"")+IMPORTRANGE(""https://docs.google.com/spreadsheets/d/1Dj4jcHCTV9JXKCaMoheSXS52JE63kDKyG7bPXnFogHk/edit?usp=shar"&amp;"ing"",""นครศรีธรรมราช!J482"")+IMPORTRANGE(""https://docs.google.com/spreadsheets/d/1iodCdmuK2GR3jzUwk8tpccY2JHQQA-87DLOtJP-ooyU/edit?usp=sharing"",""นราธิวาส!J482"")+IMPORTRANGE(""https://docs.google.com/spreadsheets/d/1SDNX3JhDdYRuIOsj0Wh2M-Qa_eaXl0NbWmh"&amp;"AOTbfQAs/edit?usp=sharing"",""ปัตตานี!J482"")+IMPORTRANGE(""https://docs.google.com/spreadsheets/d/16JDLGguT8s5DsGCND1KcwHP_AWR_zDMTqLHPLJUKhaU/edit?usp=sharing"",""พังงา!J482"")+IMPORTRANGE(""https://docs.google.com/spreadsheets/d/17ht0gPKzzT3PObBL1XJkeR"&amp;"mntBXI7wGjpLV7QorqlTk/edit?usp=sharing"",""พัทลุง!J482"")+IMPORTRANGE(""https://docs.google.com/spreadsheets/d/1rd4qoM1q_hsgaolqNGfrim9gbsoLxQsda4-vOz5x_BM/edit?usp=sharing"",""ภูเก็ต!J482"")+IMPORTRANGE(""https://docs.google.com/spreadsheets/d/1woKwKjgoL"&amp;"ssDvPcPeVyezB5izizAn4X1JDrys69n6xI/edit?usp=sharing"",""ยะลา!J482"")+IMPORTRANGE(""https://docs.google.com/spreadsheets/d/1qfrKjzMhm2HJfxQ-qVlJlJQ25Hne1d0khsySbZyGtPA/edit?usp=sharing"",""ระนอง!J482"")+IMPORTRANGE(""https://docs.google.com/spreadsheets/d/"&amp;"1IbSCnFOKpZsnFogBHJnL_isstZVaOMnFiIN0fGTPZZw/edit?usp=sharing"",""สงขลา!J482"")+IMPORTRANGE(""https://docs.google.com/spreadsheets/d/1q9nWasZJ-K8bFGvbE9n0qSRuKGA4Toe3Y89cKCiVtCU/edit?usp=sharing"",""สตูล!J482"")+IMPORTRANGE(""https://docs.google.com/sprea"&amp;"dsheets/d/18T20gbkS_WBjdscyTOV05cvq_JqvqQ17C81mpxf7Ncs/edit?usp=sharing"",""สุราษฎร์ธานี!J482"")"),0)</f>
        <v>0</v>
      </c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kKUcYdkIfrgTSj8iHHHB2MD2FAtwyyocFgqGQn6ADyI/edit?usp=sharing"",""กระบี่!J483"")+IMPORTRANGE(""https://docs.google.com/spreadsheets/d/1GwtLaSlNZkLk7iDqcyZz22giiy40b_usZZBXYciEN1U/edit?usp=sharing"",""ชุ"&amp;"มพร!J483"")+IMPORTRANGE(""https://docs.google.com/spreadsheets/d/16pAz3pOhQEZBhvFNMa5KGgZS6iKWpsKX0pg6tQmwFpo/edit?usp=sharing"",""ตรัง!J483"")+IMPORTRANGE(""https://docs.google.com/spreadsheets/d/1Dj4jcHCTV9JXKCaMoheSXS52JE63kDKyG7bPXnFogHk/edit?usp=shar"&amp;"ing"",""นครศรีธรรมราช!J483"")+IMPORTRANGE(""https://docs.google.com/spreadsheets/d/1iodCdmuK2GR3jzUwk8tpccY2JHQQA-87DLOtJP-ooyU/edit?usp=sharing"",""นราธิวาส!J483"")+IMPORTRANGE(""https://docs.google.com/spreadsheets/d/1SDNX3JhDdYRuIOsj0Wh2M-Qa_eaXl0NbWmh"&amp;"AOTbfQAs/edit?usp=sharing"",""ปัตตานี!J483"")+IMPORTRANGE(""https://docs.google.com/spreadsheets/d/16JDLGguT8s5DsGCND1KcwHP_AWR_zDMTqLHPLJUKhaU/edit?usp=sharing"",""พังงา!J483"")+IMPORTRANGE(""https://docs.google.com/spreadsheets/d/17ht0gPKzzT3PObBL1XJkeR"&amp;"mntBXI7wGjpLV7QorqlTk/edit?usp=sharing"",""พัทลุง!J483"")+IMPORTRANGE(""https://docs.google.com/spreadsheets/d/1rd4qoM1q_hsgaolqNGfrim9gbsoLxQsda4-vOz5x_BM/edit?usp=sharing"",""ภูเก็ต!J483"")+IMPORTRANGE(""https://docs.google.com/spreadsheets/d/1woKwKjgoL"&amp;"ssDvPcPeVyezB5izizAn4X1JDrys69n6xI/edit?usp=sharing"",""ยะลา!J483"")+IMPORTRANGE(""https://docs.google.com/spreadsheets/d/1qfrKjzMhm2HJfxQ-qVlJlJQ25Hne1d0khsySbZyGtPA/edit?usp=sharing"",""ระนอง!J483"")+IMPORTRANGE(""https://docs.google.com/spreadsheets/d/"&amp;"1IbSCnFOKpZsnFogBHJnL_isstZVaOMnFiIN0fGTPZZw/edit?usp=sharing"",""สงขลา!J483"")+IMPORTRANGE(""https://docs.google.com/spreadsheets/d/1q9nWasZJ-K8bFGvbE9n0qSRuKGA4Toe3Y89cKCiVtCU/edit?usp=sharing"",""สตูล!J483"")+IMPORTRANGE(""https://docs.google.com/sprea"&amp;"dsheets/d/18T20gbkS_WBjdscyTOV05cvq_JqvqQ17C81mpxf7Ncs/edit?usp=sharing"",""สุราษฎร์ธานี!J483"")"),0)</f>
        <v>0</v>
      </c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152">
        <f t="shared" ref="I485:I486" ca="1" si="342">J481</f>
        <v>0</v>
      </c>
      <c r="J485" s="147">
        <f t="shared" ref="J485:J486" ca="1" si="343">J487+J489+J491</f>
        <v>0</v>
      </c>
      <c r="K485" s="132">
        <f t="shared" ref="K485:K486" ca="1" si="344">IF(I485&gt;0,J485*100/I485,0)</f>
        <v>0</v>
      </c>
      <c r="L485" s="4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x14ac:dyDescent="0.3">
      <c r="A486" s="224"/>
      <c r="B486" s="159"/>
      <c r="C486" s="225" t="s">
        <v>194</v>
      </c>
      <c r="D486" s="159"/>
      <c r="E486" s="159"/>
      <c r="F486" s="159"/>
      <c r="G486" s="193"/>
      <c r="H486" s="131" t="s">
        <v>34</v>
      </c>
      <c r="I486" s="152">
        <f t="shared" ca="1" si="342"/>
        <v>0</v>
      </c>
      <c r="J486" s="147">
        <f t="shared" ca="1" si="343"/>
        <v>0</v>
      </c>
      <c r="K486" s="132">
        <f t="shared" ca="1" si="344"/>
        <v>0</v>
      </c>
      <c r="L486" s="4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204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45">I504</f>
        <v>210</v>
      </c>
      <c r="J493" s="321">
        <f t="shared" ca="1" si="345"/>
        <v>0</v>
      </c>
      <c r="K493" s="322">
        <f ca="1">IF(I493&gt;0,J493*100/I493,0)</f>
        <v>0</v>
      </c>
      <c r="L493" s="323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x14ac:dyDescent="0.3">
      <c r="A494" s="128"/>
      <c r="B494" s="159"/>
      <c r="C494" s="190" t="s">
        <v>18</v>
      </c>
      <c r="D494" s="488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132">
        <f t="shared" ref="L494:N494" ca="1" si="346">L495+L496</f>
        <v>0</v>
      </c>
      <c r="M494" s="132">
        <f t="shared" ca="1" si="346"/>
        <v>0</v>
      </c>
      <c r="N494" s="132">
        <f t="shared" ca="1" si="346"/>
        <v>0</v>
      </c>
      <c r="O494" s="132">
        <f t="shared" ref="O494:O502" ca="1" si="347">IF(L494&gt;0,N494*100/L494,0)</f>
        <v>0</v>
      </c>
      <c r="P494" s="132">
        <f t="shared" ref="P494:P502" ca="1" si="348">IF(M494&gt;0,N494*100/M494,0)</f>
        <v>0</v>
      </c>
      <c r="Q494" s="132">
        <f t="shared" ref="Q494:S494" ca="1" si="349">Q495+Q496</f>
        <v>2737845</v>
      </c>
      <c r="R494" s="132">
        <f t="shared" ca="1" si="349"/>
        <v>2737845</v>
      </c>
      <c r="S494" s="132">
        <f t="shared" ca="1" si="349"/>
        <v>227151.59</v>
      </c>
      <c r="T494" s="132">
        <f t="shared" ref="T494:T502" ca="1" si="350">IF(Q494&gt;0,S494*100/Q494,0)</f>
        <v>8.2967293619616882</v>
      </c>
      <c r="U494" s="132">
        <f t="shared" ref="U494:U502" ca="1" si="351">IF(R494&gt;0,S494*100/R494,0)</f>
        <v>8.2967293619616882</v>
      </c>
    </row>
    <row r="495" spans="1:21" ht="18.75" x14ac:dyDescent="0.25">
      <c r="A495" s="128"/>
      <c r="B495" s="159"/>
      <c r="C495" s="159"/>
      <c r="D495" s="139"/>
      <c r="E495" s="157" t="s">
        <v>158</v>
      </c>
      <c r="F495" s="40"/>
      <c r="G495" s="42"/>
      <c r="H495" s="160" t="s">
        <v>14</v>
      </c>
      <c r="I495" s="44"/>
      <c r="J495" s="44"/>
      <c r="K495" s="45"/>
      <c r="L495" s="48">
        <f t="shared" ref="L495:N495" ca="1" si="352">L498+L501</f>
        <v>0</v>
      </c>
      <c r="M495" s="48">
        <f t="shared" ca="1" si="352"/>
        <v>0</v>
      </c>
      <c r="N495" s="48">
        <f t="shared" ca="1" si="352"/>
        <v>0</v>
      </c>
      <c r="O495" s="48">
        <f t="shared" ca="1" si="347"/>
        <v>0</v>
      </c>
      <c r="P495" s="48">
        <f t="shared" ca="1" si="348"/>
        <v>0</v>
      </c>
      <c r="Q495" s="48">
        <f t="shared" ref="Q495:S495" ca="1" si="353">Q498+Q501</f>
        <v>0</v>
      </c>
      <c r="R495" s="48">
        <f t="shared" ca="1" si="353"/>
        <v>0</v>
      </c>
      <c r="S495" s="48">
        <f t="shared" ca="1" si="353"/>
        <v>0</v>
      </c>
      <c r="T495" s="48">
        <f t="shared" ca="1" si="350"/>
        <v>0</v>
      </c>
      <c r="U495" s="48">
        <f t="shared" ca="1" si="351"/>
        <v>0</v>
      </c>
    </row>
    <row r="496" spans="1:21" ht="18.75" x14ac:dyDescent="0.25">
      <c r="A496" s="128"/>
      <c r="B496" s="159"/>
      <c r="C496" s="159"/>
      <c r="D496" s="139"/>
      <c r="E496" s="47" t="s">
        <v>159</v>
      </c>
      <c r="F496" s="40"/>
      <c r="G496" s="42"/>
      <c r="H496" s="134" t="s">
        <v>14</v>
      </c>
      <c r="I496" s="44"/>
      <c r="J496" s="44"/>
      <c r="K496" s="45"/>
      <c r="L496" s="46">
        <f t="shared" ref="L496:N496" ca="1" si="354">L499+L502</f>
        <v>0</v>
      </c>
      <c r="M496" s="46">
        <f t="shared" ca="1" si="354"/>
        <v>0</v>
      </c>
      <c r="N496" s="46">
        <f t="shared" ca="1" si="354"/>
        <v>0</v>
      </c>
      <c r="O496" s="46">
        <f t="shared" ca="1" si="347"/>
        <v>0</v>
      </c>
      <c r="P496" s="46">
        <f t="shared" ca="1" si="348"/>
        <v>0</v>
      </c>
      <c r="Q496" s="46">
        <f t="shared" ref="Q496:S496" ca="1" si="355">Q499+Q502</f>
        <v>2737845</v>
      </c>
      <c r="R496" s="46">
        <f t="shared" ca="1" si="355"/>
        <v>2737845</v>
      </c>
      <c r="S496" s="46">
        <f t="shared" ca="1" si="355"/>
        <v>227151.59</v>
      </c>
      <c r="T496" s="46">
        <f t="shared" ca="1" si="350"/>
        <v>8.2967293619616882</v>
      </c>
      <c r="U496" s="46">
        <f t="shared" ca="1" si="351"/>
        <v>8.2967293619616882</v>
      </c>
    </row>
    <row r="497" spans="1:21" ht="18.75" x14ac:dyDescent="0.25">
      <c r="A497" s="128"/>
      <c r="B497" s="159"/>
      <c r="C497" s="159"/>
      <c r="D497" s="161" t="s">
        <v>22</v>
      </c>
      <c r="E497" s="40"/>
      <c r="F497" s="40"/>
      <c r="G497" s="42"/>
      <c r="H497" s="134" t="s">
        <v>14</v>
      </c>
      <c r="I497" s="135"/>
      <c r="J497" s="135"/>
      <c r="K497" s="136"/>
      <c r="L497" s="46">
        <f t="shared" ref="L497:N497" ca="1" si="356">L498+L499</f>
        <v>0</v>
      </c>
      <c r="M497" s="46">
        <f t="shared" ca="1" si="356"/>
        <v>0</v>
      </c>
      <c r="N497" s="46">
        <f t="shared" ca="1" si="356"/>
        <v>0</v>
      </c>
      <c r="O497" s="46">
        <f t="shared" ca="1" si="347"/>
        <v>0</v>
      </c>
      <c r="P497" s="46">
        <f t="shared" ca="1" si="348"/>
        <v>0</v>
      </c>
      <c r="Q497" s="46">
        <f t="shared" ref="Q497:S497" ca="1" si="357">Q498+Q499</f>
        <v>2737845</v>
      </c>
      <c r="R497" s="46">
        <f t="shared" ca="1" si="357"/>
        <v>2737845</v>
      </c>
      <c r="S497" s="46">
        <f t="shared" ca="1" si="357"/>
        <v>227151.59</v>
      </c>
      <c r="T497" s="46">
        <f t="shared" ca="1" si="350"/>
        <v>8.2967293619616882</v>
      </c>
      <c r="U497" s="46">
        <f t="shared" ca="1" si="351"/>
        <v>8.2967293619616882</v>
      </c>
    </row>
    <row r="498" spans="1:21" ht="18.75" x14ac:dyDescent="0.25">
      <c r="A498" s="128"/>
      <c r="B498" s="159"/>
      <c r="C498" s="159"/>
      <c r="D498" s="139"/>
      <c r="E498" s="157" t="s">
        <v>158</v>
      </c>
      <c r="F498" s="40"/>
      <c r="G498" s="42"/>
      <c r="H498" s="160" t="s">
        <v>14</v>
      </c>
      <c r="I498" s="44"/>
      <c r="J498" s="44"/>
      <c r="K498" s="45"/>
      <c r="L498" s="48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8" s="48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8" s="48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8" s="48">
        <f t="shared" ca="1" si="347"/>
        <v>0</v>
      </c>
      <c r="P498" s="48">
        <f t="shared" ca="1" si="348"/>
        <v>0</v>
      </c>
      <c r="Q498" s="48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8" s="48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8" s="48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8" s="48">
        <f t="shared" ca="1" si="350"/>
        <v>0</v>
      </c>
      <c r="U498" s="48">
        <f t="shared" ca="1" si="351"/>
        <v>0</v>
      </c>
    </row>
    <row r="499" spans="1:21" ht="18.75" x14ac:dyDescent="0.25">
      <c r="A499" s="128"/>
      <c r="B499" s="159"/>
      <c r="C499" s="159"/>
      <c r="D499" s="139"/>
      <c r="E499" s="47" t="s">
        <v>159</v>
      </c>
      <c r="F499" s="40"/>
      <c r="G499" s="42"/>
      <c r="H499" s="134" t="s">
        <v>14</v>
      </c>
      <c r="I499" s="44"/>
      <c r="J499" s="44"/>
      <c r="K499" s="45"/>
      <c r="L499" s="46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0)</f>
        <v>0</v>
      </c>
      <c r="M499" s="46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0)</f>
        <v>0</v>
      </c>
      <c r="N499" s="46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0)</f>
        <v>0</v>
      </c>
      <c r="O499" s="46">
        <f t="shared" ca="1" si="347"/>
        <v>0</v>
      </c>
      <c r="P499" s="46">
        <f t="shared" ca="1" si="348"/>
        <v>0</v>
      </c>
      <c r="Q499" s="46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9" s="46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2737845)</f>
        <v>2737845</v>
      </c>
      <c r="S499" s="46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227151.59)</f>
        <v>227151.59</v>
      </c>
      <c r="T499" s="46">
        <f t="shared" ca="1" si="350"/>
        <v>8.2967293619616882</v>
      </c>
      <c r="U499" s="46">
        <f t="shared" ca="1" si="351"/>
        <v>8.2967293619616882</v>
      </c>
    </row>
    <row r="500" spans="1:21" ht="18.75" x14ac:dyDescent="0.25">
      <c r="A500" s="128"/>
      <c r="B500" s="159"/>
      <c r="C500" s="159"/>
      <c r="D500" s="161" t="s">
        <v>23</v>
      </c>
      <c r="E500" s="40"/>
      <c r="F500" s="40"/>
      <c r="G500" s="42"/>
      <c r="H500" s="137" t="s">
        <v>14</v>
      </c>
      <c r="I500" s="135"/>
      <c r="J500" s="135"/>
      <c r="K500" s="136"/>
      <c r="L500" s="46">
        <f t="shared" ref="L500:N500" ca="1" si="358">L501+L502</f>
        <v>0</v>
      </c>
      <c r="M500" s="46">
        <f t="shared" ca="1" si="358"/>
        <v>0</v>
      </c>
      <c r="N500" s="46">
        <f t="shared" ca="1" si="358"/>
        <v>0</v>
      </c>
      <c r="O500" s="46">
        <f t="shared" ca="1" si="347"/>
        <v>0</v>
      </c>
      <c r="P500" s="46">
        <f t="shared" ca="1" si="348"/>
        <v>0</v>
      </c>
      <c r="Q500" s="46">
        <f t="shared" ref="Q500:S500" ca="1" si="359">Q501+Q502</f>
        <v>0</v>
      </c>
      <c r="R500" s="46">
        <f t="shared" ca="1" si="359"/>
        <v>0</v>
      </c>
      <c r="S500" s="46">
        <f t="shared" ca="1" si="359"/>
        <v>0</v>
      </c>
      <c r="T500" s="46">
        <f t="shared" ca="1" si="350"/>
        <v>0</v>
      </c>
      <c r="U500" s="46">
        <f t="shared" ca="1" si="351"/>
        <v>0</v>
      </c>
    </row>
    <row r="501" spans="1:21" ht="18.75" x14ac:dyDescent="0.25">
      <c r="A501" s="128"/>
      <c r="B501" s="159"/>
      <c r="C501" s="159"/>
      <c r="D501" s="159"/>
      <c r="E501" s="157" t="s">
        <v>20</v>
      </c>
      <c r="F501" s="40"/>
      <c r="G501" s="42"/>
      <c r="H501" s="160" t="s">
        <v>14</v>
      </c>
      <c r="I501" s="135"/>
      <c r="J501" s="135"/>
      <c r="K501" s="136"/>
      <c r="L501" s="48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1" s="48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1" s="48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1" s="48">
        <f t="shared" ca="1" si="347"/>
        <v>0</v>
      </c>
      <c r="P501" s="48">
        <f t="shared" ca="1" si="348"/>
        <v>0</v>
      </c>
      <c r="Q501" s="48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1" s="48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1" s="48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1" s="48">
        <f t="shared" ca="1" si="350"/>
        <v>0</v>
      </c>
      <c r="U501" s="48">
        <f t="shared" ca="1" si="351"/>
        <v>0</v>
      </c>
    </row>
    <row r="502" spans="1:21" ht="18.75" x14ac:dyDescent="0.25">
      <c r="A502" s="128"/>
      <c r="B502" s="159"/>
      <c r="C502" s="159"/>
      <c r="D502" s="159"/>
      <c r="E502" s="47" t="s">
        <v>21</v>
      </c>
      <c r="F502" s="40"/>
      <c r="G502" s="42"/>
      <c r="H502" s="137" t="s">
        <v>14</v>
      </c>
      <c r="I502" s="135"/>
      <c r="J502" s="135"/>
      <c r="K502" s="136"/>
      <c r="L502" s="46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2" s="46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2" s="46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2" s="46">
        <f t="shared" ca="1" si="347"/>
        <v>0</v>
      </c>
      <c r="P502" s="46">
        <f t="shared" ca="1" si="348"/>
        <v>0</v>
      </c>
      <c r="Q502" s="46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2" s="46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2" s="46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2" s="46">
        <f t="shared" ca="1" si="350"/>
        <v>0</v>
      </c>
      <c r="U502" s="46">
        <f t="shared" ca="1" si="351"/>
        <v>0</v>
      </c>
    </row>
    <row r="503" spans="1:21" ht="19.5" x14ac:dyDescent="0.3">
      <c r="A503" s="138"/>
      <c r="B503" s="139"/>
      <c r="C503" s="190" t="s">
        <v>18</v>
      </c>
      <c r="D503" s="338" t="s">
        <v>38</v>
      </c>
      <c r="E503" s="141"/>
      <c r="F503" s="141"/>
      <c r="G503" s="142"/>
      <c r="H503" s="191"/>
      <c r="I503" s="135"/>
      <c r="J503" s="135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24"/>
      <c r="B504" s="159"/>
      <c r="C504" s="159"/>
      <c r="D504" s="351" t="s">
        <v>199</v>
      </c>
      <c r="E504" s="40"/>
      <c r="F504" s="40"/>
      <c r="G504" s="42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4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0)</f>
        <v>0</v>
      </c>
      <c r="K504" s="132">
        <f t="shared" ref="K504:K510" ca="1" si="360">IF(I504&gt;0,J504*100/I504,0)</f>
        <v>0</v>
      </c>
      <c r="L504" s="4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24"/>
      <c r="B505" s="159"/>
      <c r="C505" s="159"/>
      <c r="D505" s="159"/>
      <c r="E505" s="47" t="s">
        <v>200</v>
      </c>
      <c r="F505" s="40"/>
      <c r="G505" s="42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0)</f>
        <v>0</v>
      </c>
      <c r="J505" s="168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60)</f>
        <v>60</v>
      </c>
      <c r="K505" s="46">
        <f t="shared" ca="1" si="360"/>
        <v>0</v>
      </c>
      <c r="L505" s="4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24"/>
      <c r="B506" s="159"/>
      <c r="C506" s="159"/>
      <c r="D506" s="159"/>
      <c r="E506" s="47" t="s">
        <v>201</v>
      </c>
      <c r="F506" s="40"/>
      <c r="G506" s="42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0)</f>
        <v>0</v>
      </c>
      <c r="J506" s="168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0)</f>
        <v>0</v>
      </c>
      <c r="K506" s="46">
        <f t="shared" ca="1" si="360"/>
        <v>0</v>
      </c>
      <c r="L506" s="4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24"/>
      <c r="B507" s="159"/>
      <c r="C507" s="159"/>
      <c r="D507" s="159"/>
      <c r="E507" s="47" t="s">
        <v>202</v>
      </c>
      <c r="F507" s="40"/>
      <c r="G507" s="42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0)</f>
        <v>0</v>
      </c>
      <c r="J507" s="168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0)</f>
        <v>0</v>
      </c>
      <c r="K507" s="46">
        <f t="shared" ca="1" si="360"/>
        <v>0</v>
      </c>
      <c r="L507" s="4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24"/>
      <c r="B508" s="159"/>
      <c r="C508" s="159"/>
      <c r="D508" s="159"/>
      <c r="E508" s="358" t="s">
        <v>203</v>
      </c>
      <c r="F508" s="40"/>
      <c r="G508" s="42"/>
      <c r="H508" s="133" t="s">
        <v>35</v>
      </c>
      <c r="I508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0)</f>
        <v>0</v>
      </c>
      <c r="J508" s="168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0)</f>
        <v>0</v>
      </c>
      <c r="K508" s="46">
        <f t="shared" ca="1" si="360"/>
        <v>0</v>
      </c>
      <c r="L508" s="4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x14ac:dyDescent="0.25">
      <c r="A509" s="224"/>
      <c r="B509" s="159"/>
      <c r="C509" s="159"/>
      <c r="D509" s="159"/>
      <c r="E509" s="47" t="s">
        <v>204</v>
      </c>
      <c r="F509" s="40"/>
      <c r="G509" s="42"/>
      <c r="H509" s="133" t="s">
        <v>35</v>
      </c>
      <c r="I509" s="152">
        <v>0</v>
      </c>
      <c r="J509" s="152">
        <v>0</v>
      </c>
      <c r="K509" s="46">
        <f t="shared" si="360"/>
        <v>0</v>
      </c>
      <c r="L509" s="45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10" s="360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10" s="110">
        <f t="shared" ca="1" si="360"/>
        <v>0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x14ac:dyDescent="0.3">
      <c r="A511" s="361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365"/>
      <c r="M511" s="365"/>
      <c r="N511" s="365"/>
      <c r="O511" s="365"/>
      <c r="P511" s="366"/>
      <c r="Q511" s="365"/>
      <c r="R511" s="365"/>
      <c r="S511" s="365"/>
      <c r="T511" s="367"/>
      <c r="U511" s="367"/>
    </row>
    <row r="512" spans="1:21" ht="19.5" x14ac:dyDescent="0.3">
      <c r="A512" s="368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373"/>
      <c r="M512" s="373"/>
      <c r="N512" s="373"/>
      <c r="O512" s="373"/>
      <c r="P512" s="373"/>
      <c r="Q512" s="373"/>
      <c r="R512" s="373"/>
      <c r="S512" s="373"/>
      <c r="T512" s="374"/>
      <c r="U512" s="374"/>
    </row>
    <row r="513" spans="1:21" ht="19.5" x14ac:dyDescent="0.3">
      <c r="A513" s="375"/>
      <c r="B513" s="376" t="s">
        <v>207</v>
      </c>
      <c r="C513" s="377"/>
      <c r="D513" s="378"/>
      <c r="E513" s="378"/>
      <c r="F513" s="378"/>
      <c r="G513" s="379"/>
      <c r="H513" s="380" t="s">
        <v>61</v>
      </c>
      <c r="I513" s="381">
        <f t="shared" ref="I513:J513" si="361">I525</f>
        <v>0</v>
      </c>
      <c r="J513" s="381">
        <f t="shared" si="361"/>
        <v>0</v>
      </c>
      <c r="K513" s="382">
        <f>IF(I513&gt;0,J513*100/I513,0)</f>
        <v>0</v>
      </c>
      <c r="L513" s="383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x14ac:dyDescent="0.3">
      <c r="A514" s="128"/>
      <c r="B514" s="40"/>
      <c r="C514" s="129" t="s">
        <v>18</v>
      </c>
      <c r="D514" s="130" t="s">
        <v>19</v>
      </c>
      <c r="E514" s="40"/>
      <c r="F514" s="40"/>
      <c r="G514" s="42"/>
      <c r="H514" s="131" t="s">
        <v>14</v>
      </c>
      <c r="I514" s="44"/>
      <c r="J514" s="44"/>
      <c r="K514" s="45"/>
      <c r="L514" s="132">
        <f t="shared" ref="L514:N514" ca="1" si="362">L515+L516</f>
        <v>12445400</v>
      </c>
      <c r="M514" s="132">
        <f t="shared" ca="1" si="362"/>
        <v>0</v>
      </c>
      <c r="N514" s="132">
        <f t="shared" ca="1" si="362"/>
        <v>0</v>
      </c>
      <c r="O514" s="132">
        <f t="shared" ref="O514:O522" ca="1" si="363">IF(L514&gt;0,N514*100/L514,0)</f>
        <v>0</v>
      </c>
      <c r="P514" s="132">
        <f t="shared" ref="P514:P522" ca="1" si="364">IF(M514&gt;0,N514*100/M514,0)</f>
        <v>0</v>
      </c>
      <c r="Q514" s="132">
        <f t="shared" ref="Q514:S514" ca="1" si="365">Q515+Q516</f>
        <v>0</v>
      </c>
      <c r="R514" s="132">
        <f t="shared" ca="1" si="365"/>
        <v>0</v>
      </c>
      <c r="S514" s="132">
        <f t="shared" ca="1" si="365"/>
        <v>0</v>
      </c>
      <c r="T514" s="132">
        <f t="shared" ref="T514:T522" ca="1" si="366">IF(Q514&gt;0,S514*100/Q514,0)</f>
        <v>0</v>
      </c>
      <c r="U514" s="132">
        <f t="shared" ref="U514:U522" ca="1" si="367">IF(R514&gt;0,S514*100/R514,0)</f>
        <v>0</v>
      </c>
    </row>
    <row r="515" spans="1:21" ht="18.75" x14ac:dyDescent="0.25">
      <c r="A515" s="128"/>
      <c r="B515" s="40"/>
      <c r="C515" s="40"/>
      <c r="D515" s="40"/>
      <c r="E515" s="47" t="s">
        <v>20</v>
      </c>
      <c r="F515" s="40"/>
      <c r="G515" s="42"/>
      <c r="H515" s="133" t="s">
        <v>14</v>
      </c>
      <c r="I515" s="44"/>
      <c r="J515" s="44"/>
      <c r="K515" s="45"/>
      <c r="L515" s="46">
        <f t="shared" ref="L515:N515" ca="1" si="368">L518+L521</f>
        <v>0</v>
      </c>
      <c r="M515" s="46">
        <f t="shared" ca="1" si="368"/>
        <v>0</v>
      </c>
      <c r="N515" s="46">
        <f t="shared" ca="1" si="368"/>
        <v>0</v>
      </c>
      <c r="O515" s="46">
        <f t="shared" ca="1" si="363"/>
        <v>0</v>
      </c>
      <c r="P515" s="46">
        <f t="shared" ca="1" si="364"/>
        <v>0</v>
      </c>
      <c r="Q515" s="46">
        <f t="shared" ref="Q515:S515" ca="1" si="369">Q518+Q521</f>
        <v>0</v>
      </c>
      <c r="R515" s="46">
        <f t="shared" ca="1" si="369"/>
        <v>0</v>
      </c>
      <c r="S515" s="46">
        <f t="shared" ca="1" si="369"/>
        <v>0</v>
      </c>
      <c r="T515" s="48">
        <f t="shared" ca="1" si="366"/>
        <v>0</v>
      </c>
      <c r="U515" s="48">
        <f t="shared" ca="1" si="367"/>
        <v>0</v>
      </c>
    </row>
    <row r="516" spans="1:21" ht="18.75" x14ac:dyDescent="0.25">
      <c r="A516" s="128"/>
      <c r="B516" s="40"/>
      <c r="C516" s="40"/>
      <c r="D516" s="40"/>
      <c r="E516" s="47" t="s">
        <v>21</v>
      </c>
      <c r="F516" s="40"/>
      <c r="G516" s="42"/>
      <c r="H516" s="133" t="s">
        <v>14</v>
      </c>
      <c r="I516" s="44"/>
      <c r="J516" s="44"/>
      <c r="K516" s="45"/>
      <c r="L516" s="46">
        <f t="shared" ref="L516:N516" ca="1" si="370">L519+L522</f>
        <v>12445400</v>
      </c>
      <c r="M516" s="46">
        <f t="shared" ca="1" si="370"/>
        <v>0</v>
      </c>
      <c r="N516" s="46">
        <f t="shared" ca="1" si="370"/>
        <v>0</v>
      </c>
      <c r="O516" s="46">
        <f t="shared" ca="1" si="363"/>
        <v>0</v>
      </c>
      <c r="P516" s="46">
        <f t="shared" ca="1" si="364"/>
        <v>0</v>
      </c>
      <c r="Q516" s="46">
        <f t="shared" ref="Q516:S516" ca="1" si="371">Q519+Q522</f>
        <v>0</v>
      </c>
      <c r="R516" s="46">
        <f t="shared" ca="1" si="371"/>
        <v>0</v>
      </c>
      <c r="S516" s="46">
        <f t="shared" ca="1" si="371"/>
        <v>0</v>
      </c>
      <c r="T516" s="46">
        <f t="shared" ca="1" si="366"/>
        <v>0</v>
      </c>
      <c r="U516" s="46">
        <f t="shared" ca="1" si="367"/>
        <v>0</v>
      </c>
    </row>
    <row r="517" spans="1:21" ht="18.75" x14ac:dyDescent="0.25">
      <c r="A517" s="128"/>
      <c r="B517" s="40"/>
      <c r="C517" s="40"/>
      <c r="D517" s="41" t="s">
        <v>22</v>
      </c>
      <c r="E517" s="40"/>
      <c r="F517" s="40"/>
      <c r="G517" s="42"/>
      <c r="H517" s="134" t="s">
        <v>14</v>
      </c>
      <c r="I517" s="135"/>
      <c r="J517" s="135"/>
      <c r="K517" s="136"/>
      <c r="L517" s="46">
        <f t="shared" ref="L517:N517" ca="1" si="372">L518+L519</f>
        <v>0</v>
      </c>
      <c r="M517" s="46">
        <f t="shared" ca="1" si="372"/>
        <v>0</v>
      </c>
      <c r="N517" s="46">
        <f t="shared" ca="1" si="372"/>
        <v>0</v>
      </c>
      <c r="O517" s="46">
        <f t="shared" ca="1" si="363"/>
        <v>0</v>
      </c>
      <c r="P517" s="46">
        <f t="shared" ca="1" si="364"/>
        <v>0</v>
      </c>
      <c r="Q517" s="46">
        <f t="shared" ref="Q517:S517" ca="1" si="373">Q518+Q519</f>
        <v>0</v>
      </c>
      <c r="R517" s="46">
        <f t="shared" ca="1" si="373"/>
        <v>0</v>
      </c>
      <c r="S517" s="46">
        <f t="shared" ca="1" si="373"/>
        <v>0</v>
      </c>
      <c r="T517" s="46">
        <f t="shared" ca="1" si="366"/>
        <v>0</v>
      </c>
      <c r="U517" s="46">
        <f t="shared" ca="1" si="367"/>
        <v>0</v>
      </c>
    </row>
    <row r="518" spans="1:21" ht="18.75" x14ac:dyDescent="0.25">
      <c r="A518" s="128"/>
      <c r="B518" s="40"/>
      <c r="C518" s="40"/>
      <c r="D518" s="40"/>
      <c r="E518" s="47" t="s">
        <v>36</v>
      </c>
      <c r="F518" s="40"/>
      <c r="G518" s="42"/>
      <c r="H518" s="134" t="s">
        <v>14</v>
      </c>
      <c r="I518" s="135"/>
      <c r="J518" s="135"/>
      <c r="K518" s="136"/>
      <c r="L518" s="46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8" s="46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8" s="46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8" s="46">
        <f t="shared" ca="1" si="363"/>
        <v>0</v>
      </c>
      <c r="P518" s="46">
        <f t="shared" ca="1" si="364"/>
        <v>0</v>
      </c>
      <c r="Q518" s="46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8" s="46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8" s="46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8" s="48">
        <f t="shared" ca="1" si="366"/>
        <v>0</v>
      </c>
      <c r="U518" s="48">
        <f t="shared" ca="1" si="367"/>
        <v>0</v>
      </c>
    </row>
    <row r="519" spans="1:21" ht="18.75" x14ac:dyDescent="0.25">
      <c r="A519" s="128"/>
      <c r="B519" s="40"/>
      <c r="C519" s="40"/>
      <c r="D519" s="40"/>
      <c r="E519" s="47" t="s">
        <v>37</v>
      </c>
      <c r="F519" s="40"/>
      <c r="G519" s="42"/>
      <c r="H519" s="134" t="s">
        <v>14</v>
      </c>
      <c r="I519" s="135"/>
      <c r="J519" s="135"/>
      <c r="K519" s="136"/>
      <c r="L519" s="46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9" s="46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9" s="46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9" s="46">
        <f t="shared" ca="1" si="363"/>
        <v>0</v>
      </c>
      <c r="P519" s="46">
        <f t="shared" ca="1" si="364"/>
        <v>0</v>
      </c>
      <c r="Q519" s="46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9" s="46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9" s="46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9" s="46">
        <f t="shared" ca="1" si="366"/>
        <v>0</v>
      </c>
      <c r="U519" s="46">
        <f t="shared" ca="1" si="367"/>
        <v>0</v>
      </c>
    </row>
    <row r="520" spans="1:21" ht="18.75" x14ac:dyDescent="0.25">
      <c r="A520" s="128"/>
      <c r="B520" s="40"/>
      <c r="C520" s="40"/>
      <c r="D520" s="41" t="s">
        <v>23</v>
      </c>
      <c r="E520" s="40"/>
      <c r="F520" s="40"/>
      <c r="G520" s="42"/>
      <c r="H520" s="137" t="s">
        <v>14</v>
      </c>
      <c r="I520" s="135"/>
      <c r="J520" s="135"/>
      <c r="K520" s="136"/>
      <c r="L520" s="46">
        <f t="shared" ref="L520:N520" ca="1" si="374">L521+L522</f>
        <v>12445400</v>
      </c>
      <c r="M520" s="46">
        <f t="shared" ca="1" si="374"/>
        <v>0</v>
      </c>
      <c r="N520" s="46">
        <f t="shared" ca="1" si="374"/>
        <v>0</v>
      </c>
      <c r="O520" s="46">
        <f t="shared" ca="1" si="363"/>
        <v>0</v>
      </c>
      <c r="P520" s="46">
        <f t="shared" ca="1" si="364"/>
        <v>0</v>
      </c>
      <c r="Q520" s="46">
        <f t="shared" ref="Q520:S520" ca="1" si="375">Q521+Q522</f>
        <v>0</v>
      </c>
      <c r="R520" s="46">
        <f t="shared" ca="1" si="375"/>
        <v>0</v>
      </c>
      <c r="S520" s="46">
        <f t="shared" ca="1" si="375"/>
        <v>0</v>
      </c>
      <c r="T520" s="46">
        <f t="shared" ca="1" si="366"/>
        <v>0</v>
      </c>
      <c r="U520" s="46">
        <f t="shared" ca="1" si="367"/>
        <v>0</v>
      </c>
    </row>
    <row r="521" spans="1:21" ht="18.75" x14ac:dyDescent="0.25">
      <c r="A521" s="128"/>
      <c r="B521" s="40"/>
      <c r="C521" s="40"/>
      <c r="D521" s="40"/>
      <c r="E521" s="47" t="s">
        <v>20</v>
      </c>
      <c r="F521" s="40"/>
      <c r="G521" s="42"/>
      <c r="H521" s="134" t="s">
        <v>14</v>
      </c>
      <c r="I521" s="135"/>
      <c r="J521" s="135"/>
      <c r="K521" s="136"/>
      <c r="L521" s="46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1" s="46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1" s="46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1" s="46">
        <f t="shared" ca="1" si="363"/>
        <v>0</v>
      </c>
      <c r="P521" s="46">
        <f t="shared" ca="1" si="364"/>
        <v>0</v>
      </c>
      <c r="Q521" s="46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1" s="46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1" s="46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1" s="48">
        <f t="shared" ca="1" si="366"/>
        <v>0</v>
      </c>
      <c r="U521" s="48">
        <f t="shared" ca="1" si="367"/>
        <v>0</v>
      </c>
    </row>
    <row r="522" spans="1:21" ht="18.75" x14ac:dyDescent="0.25">
      <c r="A522" s="128"/>
      <c r="B522" s="40"/>
      <c r="C522" s="40"/>
      <c r="D522" s="40"/>
      <c r="E522" s="47" t="s">
        <v>21</v>
      </c>
      <c r="F522" s="40"/>
      <c r="G522" s="42"/>
      <c r="H522" s="137" t="s">
        <v>14</v>
      </c>
      <c r="I522" s="135"/>
      <c r="J522" s="135"/>
      <c r="K522" s="136"/>
      <c r="L522" s="46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12445400)</f>
        <v>12445400</v>
      </c>
      <c r="M522" s="46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0)</f>
        <v>0</v>
      </c>
      <c r="N522" s="46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0)</f>
        <v>0</v>
      </c>
      <c r="O522" s="46">
        <f t="shared" ca="1" si="363"/>
        <v>0</v>
      </c>
      <c r="P522" s="46">
        <f t="shared" ca="1" si="364"/>
        <v>0</v>
      </c>
      <c r="Q522" s="46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2" s="46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2" s="46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2" s="46">
        <f t="shared" ca="1" si="366"/>
        <v>0</v>
      </c>
      <c r="U522" s="46">
        <f t="shared" ca="1" si="367"/>
        <v>0</v>
      </c>
    </row>
    <row r="523" spans="1:21" ht="19.5" x14ac:dyDescent="0.3">
      <c r="A523" s="138"/>
      <c r="B523" s="139"/>
      <c r="C523" s="129" t="s">
        <v>18</v>
      </c>
      <c r="D523" s="140" t="s">
        <v>38</v>
      </c>
      <c r="E523" s="141"/>
      <c r="F523" s="141"/>
      <c r="G523" s="142"/>
      <c r="H523" s="143"/>
      <c r="I523" s="135"/>
      <c r="J523" s="44"/>
      <c r="K523" s="45"/>
      <c r="L523" s="45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x14ac:dyDescent="0.25">
      <c r="A524" s="224"/>
      <c r="B524" s="40"/>
      <c r="C524" s="159"/>
      <c r="D524" s="167" t="s">
        <v>208</v>
      </c>
      <c r="E524" s="139"/>
      <c r="F524" s="40"/>
      <c r="G524" s="42"/>
      <c r="H524" s="226" t="s">
        <v>11</v>
      </c>
      <c r="I524" s="152">
        <v>0</v>
      </c>
      <c r="J524" s="152">
        <v>0</v>
      </c>
      <c r="K524" s="46">
        <f t="shared" ref="K524:K525" si="376">IF(I524&gt;0,J524*100/I524,0)</f>
        <v>0</v>
      </c>
      <c r="L524" s="45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x14ac:dyDescent="0.25">
      <c r="A525" s="355"/>
      <c r="B525" s="2"/>
      <c r="C525" s="4"/>
      <c r="D525" s="384" t="s">
        <v>209</v>
      </c>
      <c r="E525" s="274"/>
      <c r="F525" s="2"/>
      <c r="G525" s="52"/>
      <c r="H525" s="385" t="s">
        <v>61</v>
      </c>
      <c r="I525" s="204">
        <v>0</v>
      </c>
      <c r="J525" s="204">
        <v>0</v>
      </c>
      <c r="K525" s="110">
        <f t="shared" si="376"/>
        <v>0</v>
      </c>
      <c r="L525" s="5"/>
      <c r="M525" s="5"/>
      <c r="N525" s="5"/>
      <c r="O525" s="5"/>
      <c r="P525" s="5"/>
      <c r="Q525" s="5"/>
      <c r="R525" s="5"/>
      <c r="S525" s="5"/>
      <c r="T525" s="45"/>
      <c r="U525" s="45"/>
    </row>
    <row r="526" spans="1:21" ht="12.75" hidden="1" x14ac:dyDescent="0.2">
      <c r="A526" s="249"/>
      <c r="B526" s="250"/>
      <c r="C526" s="250"/>
      <c r="D526" s="251"/>
      <c r="E526" s="251"/>
      <c r="F526" s="251"/>
      <c r="G526" s="252"/>
      <c r="H526" s="253"/>
      <c r="I526" s="254"/>
      <c r="J526" s="254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390">
        <f t="shared" ref="I534:J534" si="377">I546</f>
        <v>0</v>
      </c>
      <c r="J534" s="390">
        <f t="shared" si="377"/>
        <v>0</v>
      </c>
      <c r="K534" s="382">
        <f>IF(I534&gt;0,J534*100/I534,0)</f>
        <v>0</v>
      </c>
      <c r="L534" s="383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40"/>
      <c r="C535" s="129" t="s">
        <v>18</v>
      </c>
      <c r="D535" s="130" t="s">
        <v>19</v>
      </c>
      <c r="E535" s="40"/>
      <c r="F535" s="40"/>
      <c r="G535" s="42"/>
      <c r="H535" s="131" t="s">
        <v>14</v>
      </c>
      <c r="I535" s="44"/>
      <c r="J535" s="44"/>
      <c r="K535" s="45"/>
      <c r="L535" s="132">
        <f t="shared" ref="L535:N535" ca="1" si="378">L536+L537</f>
        <v>0</v>
      </c>
      <c r="M535" s="132">
        <f t="shared" ca="1" si="378"/>
        <v>0</v>
      </c>
      <c r="N535" s="132">
        <f t="shared" ca="1" si="378"/>
        <v>0</v>
      </c>
      <c r="O535" s="132">
        <f t="shared" ref="O535:O543" ca="1" si="379">IF(L535&gt;0,N535*100/L535,0)</f>
        <v>0</v>
      </c>
      <c r="P535" s="132">
        <f t="shared" ref="P535:P543" ca="1" si="380">IF(M535&gt;0,N535*100/M535,0)</f>
        <v>0</v>
      </c>
      <c r="Q535" s="132">
        <f t="shared" ref="Q535:S535" ca="1" si="381">Q536+Q537</f>
        <v>0</v>
      </c>
      <c r="R535" s="132">
        <f t="shared" ca="1" si="381"/>
        <v>0</v>
      </c>
      <c r="S535" s="132">
        <f t="shared" ca="1" si="381"/>
        <v>0</v>
      </c>
      <c r="T535" s="132">
        <f t="shared" ref="T535:T543" ca="1" si="382">IF(Q535&gt;0,S535*100/Q535,0)</f>
        <v>0</v>
      </c>
      <c r="U535" s="132">
        <f t="shared" ref="U535:U543" ca="1" si="383">IF(R535&gt;0,S535*100/R535,0)</f>
        <v>0</v>
      </c>
    </row>
    <row r="536" spans="1:21" ht="18.75" hidden="1" x14ac:dyDescent="0.25">
      <c r="A536" s="128"/>
      <c r="B536" s="159"/>
      <c r="C536" s="40"/>
      <c r="D536" s="40"/>
      <c r="E536" s="157" t="s">
        <v>20</v>
      </c>
      <c r="F536" s="40"/>
      <c r="G536" s="42"/>
      <c r="H536" s="158" t="s">
        <v>14</v>
      </c>
      <c r="I536" s="44"/>
      <c r="J536" s="44"/>
      <c r="K536" s="45"/>
      <c r="L536" s="48">
        <f t="shared" ref="L536:N536" ca="1" si="384">L539+L542</f>
        <v>0</v>
      </c>
      <c r="M536" s="48">
        <f t="shared" ca="1" si="384"/>
        <v>0</v>
      </c>
      <c r="N536" s="48">
        <f t="shared" ca="1" si="384"/>
        <v>0</v>
      </c>
      <c r="O536" s="48">
        <f t="shared" ca="1" si="379"/>
        <v>0</v>
      </c>
      <c r="P536" s="48">
        <f t="shared" ca="1" si="380"/>
        <v>0</v>
      </c>
      <c r="Q536" s="48">
        <f t="shared" ref="Q536:S536" ca="1" si="385">Q539+Q542</f>
        <v>0</v>
      </c>
      <c r="R536" s="48">
        <f t="shared" ca="1" si="385"/>
        <v>0</v>
      </c>
      <c r="S536" s="48">
        <f t="shared" ca="1" si="385"/>
        <v>0</v>
      </c>
      <c r="T536" s="48">
        <f t="shared" ca="1" si="382"/>
        <v>0</v>
      </c>
      <c r="U536" s="48">
        <f t="shared" ca="1" si="383"/>
        <v>0</v>
      </c>
    </row>
    <row r="537" spans="1:21" ht="18.75" hidden="1" x14ac:dyDescent="0.25">
      <c r="A537" s="128"/>
      <c r="B537" s="40"/>
      <c r="C537" s="159"/>
      <c r="D537" s="40"/>
      <c r="E537" s="225" t="s">
        <v>21</v>
      </c>
      <c r="F537" s="40"/>
      <c r="G537" s="42"/>
      <c r="H537" s="133" t="s">
        <v>14</v>
      </c>
      <c r="I537" s="44"/>
      <c r="J537" s="44"/>
      <c r="K537" s="45"/>
      <c r="L537" s="46">
        <f t="shared" ref="L537:N537" ca="1" si="386">L540+L543</f>
        <v>0</v>
      </c>
      <c r="M537" s="46">
        <f t="shared" ca="1" si="386"/>
        <v>0</v>
      </c>
      <c r="N537" s="46">
        <f t="shared" ca="1" si="386"/>
        <v>0</v>
      </c>
      <c r="O537" s="46">
        <f t="shared" ca="1" si="379"/>
        <v>0</v>
      </c>
      <c r="P537" s="46">
        <f t="shared" ca="1" si="380"/>
        <v>0</v>
      </c>
      <c r="Q537" s="46">
        <f t="shared" ref="Q537:S537" ca="1" si="387">Q540+Q543</f>
        <v>0</v>
      </c>
      <c r="R537" s="46">
        <f t="shared" ca="1" si="387"/>
        <v>0</v>
      </c>
      <c r="S537" s="46">
        <f t="shared" ca="1" si="387"/>
        <v>0</v>
      </c>
      <c r="T537" s="46">
        <f t="shared" ca="1" si="382"/>
        <v>0</v>
      </c>
      <c r="U537" s="46">
        <f t="shared" ca="1" si="383"/>
        <v>0</v>
      </c>
    </row>
    <row r="538" spans="1:21" ht="18.75" hidden="1" x14ac:dyDescent="0.25">
      <c r="A538" s="128"/>
      <c r="B538" s="40"/>
      <c r="C538" s="159"/>
      <c r="D538" s="41" t="s">
        <v>22</v>
      </c>
      <c r="E538" s="159"/>
      <c r="F538" s="40"/>
      <c r="G538" s="42"/>
      <c r="H538" s="134" t="s">
        <v>14</v>
      </c>
      <c r="I538" s="135"/>
      <c r="J538" s="135"/>
      <c r="K538" s="136"/>
      <c r="L538" s="46">
        <f t="shared" ref="L538:N538" ca="1" si="388">L539+L540</f>
        <v>0</v>
      </c>
      <c r="M538" s="46">
        <f t="shared" ca="1" si="388"/>
        <v>0</v>
      </c>
      <c r="N538" s="46">
        <f t="shared" ca="1" si="388"/>
        <v>0</v>
      </c>
      <c r="O538" s="46">
        <f t="shared" ca="1" si="379"/>
        <v>0</v>
      </c>
      <c r="P538" s="46">
        <f t="shared" ca="1" si="380"/>
        <v>0</v>
      </c>
      <c r="Q538" s="46">
        <f t="shared" ref="Q538:S538" ca="1" si="389">Q539+Q540</f>
        <v>0</v>
      </c>
      <c r="R538" s="46">
        <f t="shared" ca="1" si="389"/>
        <v>0</v>
      </c>
      <c r="S538" s="46">
        <f t="shared" ca="1" si="389"/>
        <v>0</v>
      </c>
      <c r="T538" s="46">
        <f t="shared" ca="1" si="382"/>
        <v>0</v>
      </c>
      <c r="U538" s="46">
        <f t="shared" ca="1" si="383"/>
        <v>0</v>
      </c>
    </row>
    <row r="539" spans="1:21" ht="18.75" hidden="1" x14ac:dyDescent="0.25">
      <c r="A539" s="128"/>
      <c r="B539" s="40"/>
      <c r="C539" s="40"/>
      <c r="D539" s="40"/>
      <c r="E539" s="157" t="s">
        <v>36</v>
      </c>
      <c r="F539" s="40"/>
      <c r="G539" s="42"/>
      <c r="H539" s="160" t="s">
        <v>14</v>
      </c>
      <c r="I539" s="135"/>
      <c r="J539" s="135"/>
      <c r="K539" s="136"/>
      <c r="L539" s="48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9" s="48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9" s="48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9" s="48">
        <f t="shared" ca="1" si="379"/>
        <v>0</v>
      </c>
      <c r="P539" s="48">
        <f t="shared" ca="1" si="380"/>
        <v>0</v>
      </c>
      <c r="Q539" s="48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9" s="48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9" s="48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9" s="48">
        <f t="shared" ca="1" si="382"/>
        <v>0</v>
      </c>
      <c r="U539" s="48">
        <f t="shared" ca="1" si="383"/>
        <v>0</v>
      </c>
    </row>
    <row r="540" spans="1:21" ht="18.75" hidden="1" x14ac:dyDescent="0.25">
      <c r="A540" s="128"/>
      <c r="B540" s="40"/>
      <c r="C540" s="40"/>
      <c r="D540" s="40"/>
      <c r="E540" s="47" t="s">
        <v>37</v>
      </c>
      <c r="F540" s="40"/>
      <c r="G540" s="42"/>
      <c r="H540" s="134" t="s">
        <v>14</v>
      </c>
      <c r="I540" s="135"/>
      <c r="J540" s="135"/>
      <c r="K540" s="136"/>
      <c r="L540" s="46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40" s="46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40" s="46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40" s="46">
        <f t="shared" ca="1" si="379"/>
        <v>0</v>
      </c>
      <c r="P540" s="46">
        <f t="shared" ca="1" si="380"/>
        <v>0</v>
      </c>
      <c r="Q540" s="46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40" s="46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40" s="46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40" s="46">
        <f t="shared" ca="1" si="382"/>
        <v>0</v>
      </c>
      <c r="U540" s="46">
        <f t="shared" ca="1" si="383"/>
        <v>0</v>
      </c>
    </row>
    <row r="541" spans="1:21" ht="18.75" hidden="1" x14ac:dyDescent="0.25">
      <c r="A541" s="128"/>
      <c r="B541" s="40"/>
      <c r="C541" s="40"/>
      <c r="D541" s="41" t="s">
        <v>23</v>
      </c>
      <c r="E541" s="40"/>
      <c r="F541" s="40"/>
      <c r="G541" s="42"/>
      <c r="H541" s="137" t="s">
        <v>14</v>
      </c>
      <c r="I541" s="135"/>
      <c r="J541" s="135"/>
      <c r="K541" s="136"/>
      <c r="L541" s="46">
        <f t="shared" ref="L541:N541" ca="1" si="390">L542+L543</f>
        <v>0</v>
      </c>
      <c r="M541" s="46">
        <f t="shared" ca="1" si="390"/>
        <v>0</v>
      </c>
      <c r="N541" s="46">
        <f t="shared" ca="1" si="390"/>
        <v>0</v>
      </c>
      <c r="O541" s="46">
        <f t="shared" ca="1" si="379"/>
        <v>0</v>
      </c>
      <c r="P541" s="46">
        <f t="shared" ca="1" si="380"/>
        <v>0</v>
      </c>
      <c r="Q541" s="46">
        <f t="shared" ref="Q541:S541" ca="1" si="391">Q542+Q543</f>
        <v>0</v>
      </c>
      <c r="R541" s="46">
        <f t="shared" ca="1" si="391"/>
        <v>0</v>
      </c>
      <c r="S541" s="46">
        <f t="shared" ca="1" si="391"/>
        <v>0</v>
      </c>
      <c r="T541" s="46">
        <f t="shared" ca="1" si="382"/>
        <v>0</v>
      </c>
      <c r="U541" s="46">
        <f t="shared" ca="1" si="383"/>
        <v>0</v>
      </c>
    </row>
    <row r="542" spans="1:21" ht="18.75" hidden="1" x14ac:dyDescent="0.25">
      <c r="A542" s="128"/>
      <c r="B542" s="40"/>
      <c r="C542" s="40"/>
      <c r="D542" s="40"/>
      <c r="E542" s="157" t="s">
        <v>20</v>
      </c>
      <c r="F542" s="40"/>
      <c r="G542" s="42"/>
      <c r="H542" s="160" t="s">
        <v>14</v>
      </c>
      <c r="I542" s="135"/>
      <c r="J542" s="135"/>
      <c r="K542" s="136"/>
      <c r="L542" s="48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2" s="48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2" s="48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2" s="48">
        <f t="shared" ca="1" si="379"/>
        <v>0</v>
      </c>
      <c r="P542" s="48">
        <f t="shared" ca="1" si="380"/>
        <v>0</v>
      </c>
      <c r="Q542" s="48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2" s="48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2" s="48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2" s="48">
        <f t="shared" ca="1" si="382"/>
        <v>0</v>
      </c>
      <c r="U542" s="48">
        <f t="shared" ca="1" si="383"/>
        <v>0</v>
      </c>
    </row>
    <row r="543" spans="1:21" ht="18.75" hidden="1" x14ac:dyDescent="0.25">
      <c r="A543" s="128"/>
      <c r="B543" s="40"/>
      <c r="C543" s="40"/>
      <c r="D543" s="40"/>
      <c r="E543" s="47" t="s">
        <v>21</v>
      </c>
      <c r="F543" s="40"/>
      <c r="G543" s="42"/>
      <c r="H543" s="137" t="s">
        <v>14</v>
      </c>
      <c r="I543" s="135"/>
      <c r="J543" s="135"/>
      <c r="K543" s="136"/>
      <c r="L543" s="46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3" s="46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3" s="46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3" s="46">
        <f t="shared" ca="1" si="379"/>
        <v>0</v>
      </c>
      <c r="P543" s="46">
        <f t="shared" ca="1" si="380"/>
        <v>0</v>
      </c>
      <c r="Q543" s="46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3" s="46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3" s="46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3" s="46">
        <f t="shared" ca="1" si="382"/>
        <v>0</v>
      </c>
      <c r="U543" s="46">
        <f t="shared" ca="1" si="383"/>
        <v>0</v>
      </c>
    </row>
    <row r="544" spans="1:21" ht="19.5" hidden="1" x14ac:dyDescent="0.3">
      <c r="A544" s="138"/>
      <c r="B544" s="139"/>
      <c r="C544" s="391" t="s">
        <v>18</v>
      </c>
      <c r="D544" s="140" t="s">
        <v>38</v>
      </c>
      <c r="E544" s="141"/>
      <c r="F544" s="141"/>
      <c r="G544" s="142"/>
      <c r="H544" s="143"/>
      <c r="I544" s="135"/>
      <c r="J544" s="44"/>
      <c r="K544" s="45"/>
      <c r="L544" s="45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390">
        <f t="shared" ref="I555:J555" si="392">I567</f>
        <v>0</v>
      </c>
      <c r="J555" s="390">
        <f t="shared" si="392"/>
        <v>0</v>
      </c>
      <c r="K555" s="382">
        <f>IF(I555&gt;0,J555*100/I555,0)</f>
        <v>0</v>
      </c>
      <c r="L555" s="383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40"/>
      <c r="C556" s="129" t="s">
        <v>18</v>
      </c>
      <c r="D556" s="130" t="s">
        <v>19</v>
      </c>
      <c r="E556" s="40"/>
      <c r="F556" s="40"/>
      <c r="G556" s="42"/>
      <c r="H556" s="131" t="s">
        <v>14</v>
      </c>
      <c r="I556" s="44"/>
      <c r="J556" s="44"/>
      <c r="K556" s="45"/>
      <c r="L556" s="132">
        <f t="shared" ref="L556:N556" ca="1" si="393">L557+L558</f>
        <v>0</v>
      </c>
      <c r="M556" s="132">
        <f t="shared" ca="1" si="393"/>
        <v>0</v>
      </c>
      <c r="N556" s="132">
        <f t="shared" ca="1" si="393"/>
        <v>0</v>
      </c>
      <c r="O556" s="132">
        <f t="shared" ref="O556:O564" ca="1" si="394">IF(L556&gt;0,N556*100/L556,0)</f>
        <v>0</v>
      </c>
      <c r="P556" s="132">
        <f t="shared" ref="P556:P564" ca="1" si="395">IF(M556&gt;0,N556*100/M556,0)</f>
        <v>0</v>
      </c>
      <c r="Q556" s="132">
        <f t="shared" ref="Q556:S556" ca="1" si="396">Q557+Q558</f>
        <v>0</v>
      </c>
      <c r="R556" s="132">
        <f t="shared" ca="1" si="396"/>
        <v>0</v>
      </c>
      <c r="S556" s="132">
        <f t="shared" ca="1" si="396"/>
        <v>0</v>
      </c>
      <c r="T556" s="132">
        <f t="shared" ref="T556:T564" ca="1" si="397">IF(Q556&gt;0,S556*100/Q556,0)</f>
        <v>0</v>
      </c>
      <c r="U556" s="132">
        <f t="shared" ref="U556:U564" ca="1" si="398">IF(R556&gt;0,S556*100/R556,0)</f>
        <v>0</v>
      </c>
    </row>
    <row r="557" spans="1:21" ht="18.75" hidden="1" x14ac:dyDescent="0.25">
      <c r="A557" s="128"/>
      <c r="B557" s="159"/>
      <c r="C557" s="40"/>
      <c r="D557" s="40"/>
      <c r="E557" s="157" t="s">
        <v>20</v>
      </c>
      <c r="F557" s="40"/>
      <c r="G557" s="42"/>
      <c r="H557" s="158" t="s">
        <v>14</v>
      </c>
      <c r="I557" s="44"/>
      <c r="J557" s="44"/>
      <c r="K557" s="45"/>
      <c r="L557" s="48">
        <f t="shared" ref="L557:N557" ca="1" si="399">L560+L563</f>
        <v>0</v>
      </c>
      <c r="M557" s="48">
        <f t="shared" ca="1" si="399"/>
        <v>0</v>
      </c>
      <c r="N557" s="48">
        <f t="shared" ca="1" si="399"/>
        <v>0</v>
      </c>
      <c r="O557" s="48">
        <f t="shared" ca="1" si="394"/>
        <v>0</v>
      </c>
      <c r="P557" s="48">
        <f t="shared" ca="1" si="395"/>
        <v>0</v>
      </c>
      <c r="Q557" s="48">
        <f t="shared" ref="Q557:S557" ca="1" si="400">Q560+Q563</f>
        <v>0</v>
      </c>
      <c r="R557" s="48">
        <f t="shared" ca="1" si="400"/>
        <v>0</v>
      </c>
      <c r="S557" s="48">
        <f t="shared" ca="1" si="400"/>
        <v>0</v>
      </c>
      <c r="T557" s="48">
        <f t="shared" ca="1" si="397"/>
        <v>0</v>
      </c>
      <c r="U557" s="48">
        <f t="shared" ca="1" si="398"/>
        <v>0</v>
      </c>
    </row>
    <row r="558" spans="1:21" ht="18.75" hidden="1" x14ac:dyDescent="0.25">
      <c r="A558" s="128"/>
      <c r="B558" s="40"/>
      <c r="C558" s="159"/>
      <c r="D558" s="40"/>
      <c r="E558" s="225" t="s">
        <v>21</v>
      </c>
      <c r="F558" s="40"/>
      <c r="G558" s="42"/>
      <c r="H558" s="133" t="s">
        <v>14</v>
      </c>
      <c r="I558" s="44"/>
      <c r="J558" s="44"/>
      <c r="K558" s="45"/>
      <c r="L558" s="46">
        <f t="shared" ref="L558:N558" ca="1" si="401">L561+L564</f>
        <v>0</v>
      </c>
      <c r="M558" s="46">
        <f t="shared" ca="1" si="401"/>
        <v>0</v>
      </c>
      <c r="N558" s="46">
        <f t="shared" ca="1" si="401"/>
        <v>0</v>
      </c>
      <c r="O558" s="46">
        <f t="shared" ca="1" si="394"/>
        <v>0</v>
      </c>
      <c r="P558" s="46">
        <f t="shared" ca="1" si="395"/>
        <v>0</v>
      </c>
      <c r="Q558" s="46">
        <f t="shared" ref="Q558:S558" ca="1" si="402">Q561+Q564</f>
        <v>0</v>
      </c>
      <c r="R558" s="46">
        <f t="shared" ca="1" si="402"/>
        <v>0</v>
      </c>
      <c r="S558" s="46">
        <f t="shared" ca="1" si="402"/>
        <v>0</v>
      </c>
      <c r="T558" s="46">
        <f t="shared" ca="1" si="397"/>
        <v>0</v>
      </c>
      <c r="U558" s="46">
        <f t="shared" ca="1" si="398"/>
        <v>0</v>
      </c>
    </row>
    <row r="559" spans="1:21" ht="18.75" hidden="1" x14ac:dyDescent="0.25">
      <c r="A559" s="128"/>
      <c r="B559" s="40"/>
      <c r="C559" s="159"/>
      <c r="D559" s="41" t="s">
        <v>22</v>
      </c>
      <c r="E559" s="159"/>
      <c r="F559" s="40"/>
      <c r="G559" s="42"/>
      <c r="H559" s="134" t="s">
        <v>14</v>
      </c>
      <c r="I559" s="135"/>
      <c r="J559" s="135"/>
      <c r="K559" s="136"/>
      <c r="L559" s="46">
        <f t="shared" ref="L559:N559" ca="1" si="403">L560+L561</f>
        <v>0</v>
      </c>
      <c r="M559" s="46">
        <f t="shared" ca="1" si="403"/>
        <v>0</v>
      </c>
      <c r="N559" s="46">
        <f t="shared" ca="1" si="403"/>
        <v>0</v>
      </c>
      <c r="O559" s="46">
        <f t="shared" ca="1" si="394"/>
        <v>0</v>
      </c>
      <c r="P559" s="46">
        <f t="shared" ca="1" si="395"/>
        <v>0</v>
      </c>
      <c r="Q559" s="46">
        <f t="shared" ref="Q559:S559" ca="1" si="404">Q560+Q561</f>
        <v>0</v>
      </c>
      <c r="R559" s="46">
        <f t="shared" ca="1" si="404"/>
        <v>0</v>
      </c>
      <c r="S559" s="46">
        <f t="shared" ca="1" si="404"/>
        <v>0</v>
      </c>
      <c r="T559" s="46">
        <f t="shared" ca="1" si="397"/>
        <v>0</v>
      </c>
      <c r="U559" s="46">
        <f t="shared" ca="1" si="398"/>
        <v>0</v>
      </c>
    </row>
    <row r="560" spans="1:21" ht="18.75" hidden="1" x14ac:dyDescent="0.25">
      <c r="A560" s="128"/>
      <c r="B560" s="40"/>
      <c r="C560" s="40"/>
      <c r="D560" s="40"/>
      <c r="E560" s="157" t="s">
        <v>36</v>
      </c>
      <c r="F560" s="40"/>
      <c r="G560" s="42"/>
      <c r="H560" s="160" t="s">
        <v>14</v>
      </c>
      <c r="I560" s="135"/>
      <c r="J560" s="135"/>
      <c r="K560" s="136"/>
      <c r="L560" s="48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60" s="48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60" s="48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60" s="48">
        <f t="shared" ca="1" si="394"/>
        <v>0</v>
      </c>
      <c r="P560" s="48">
        <f t="shared" ca="1" si="395"/>
        <v>0</v>
      </c>
      <c r="Q560" s="48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60" s="48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60" s="48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60" s="48">
        <f t="shared" ca="1" si="397"/>
        <v>0</v>
      </c>
      <c r="U560" s="48">
        <f t="shared" ca="1" si="398"/>
        <v>0</v>
      </c>
    </row>
    <row r="561" spans="1:21" ht="18.75" hidden="1" x14ac:dyDescent="0.25">
      <c r="A561" s="128"/>
      <c r="B561" s="40"/>
      <c r="C561" s="40"/>
      <c r="D561" s="40"/>
      <c r="E561" s="47" t="s">
        <v>37</v>
      </c>
      <c r="F561" s="40"/>
      <c r="G561" s="42"/>
      <c r="H561" s="134" t="s">
        <v>14</v>
      </c>
      <c r="I561" s="135"/>
      <c r="J561" s="135"/>
      <c r="K561" s="136"/>
      <c r="L561" s="46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1" s="46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1" s="46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1" s="46">
        <f t="shared" ca="1" si="394"/>
        <v>0</v>
      </c>
      <c r="P561" s="46">
        <f t="shared" ca="1" si="395"/>
        <v>0</v>
      </c>
      <c r="Q561" s="46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1" s="46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1" s="46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1" s="46">
        <f t="shared" ca="1" si="397"/>
        <v>0</v>
      </c>
      <c r="U561" s="46">
        <f t="shared" ca="1" si="398"/>
        <v>0</v>
      </c>
    </row>
    <row r="562" spans="1:21" ht="18.75" hidden="1" x14ac:dyDescent="0.25">
      <c r="A562" s="128"/>
      <c r="B562" s="40"/>
      <c r="C562" s="40"/>
      <c r="D562" s="41" t="s">
        <v>23</v>
      </c>
      <c r="E562" s="40"/>
      <c r="F562" s="40"/>
      <c r="G562" s="42"/>
      <c r="H562" s="137" t="s">
        <v>14</v>
      </c>
      <c r="I562" s="135"/>
      <c r="J562" s="135"/>
      <c r="K562" s="136"/>
      <c r="L562" s="46">
        <f t="shared" ref="L562:N562" ca="1" si="405">L563+L564</f>
        <v>0</v>
      </c>
      <c r="M562" s="46">
        <f t="shared" ca="1" si="405"/>
        <v>0</v>
      </c>
      <c r="N562" s="46">
        <f t="shared" ca="1" si="405"/>
        <v>0</v>
      </c>
      <c r="O562" s="46">
        <f t="shared" ca="1" si="394"/>
        <v>0</v>
      </c>
      <c r="P562" s="46">
        <f t="shared" ca="1" si="395"/>
        <v>0</v>
      </c>
      <c r="Q562" s="46">
        <f t="shared" ref="Q562:S562" ca="1" si="406">Q563+Q564</f>
        <v>0</v>
      </c>
      <c r="R562" s="46">
        <f t="shared" ca="1" si="406"/>
        <v>0</v>
      </c>
      <c r="S562" s="46">
        <f t="shared" ca="1" si="406"/>
        <v>0</v>
      </c>
      <c r="T562" s="46">
        <f t="shared" ca="1" si="397"/>
        <v>0</v>
      </c>
      <c r="U562" s="46">
        <f t="shared" ca="1" si="398"/>
        <v>0</v>
      </c>
    </row>
    <row r="563" spans="1:21" ht="18.75" hidden="1" x14ac:dyDescent="0.25">
      <c r="A563" s="128"/>
      <c r="B563" s="40"/>
      <c r="C563" s="40"/>
      <c r="D563" s="40"/>
      <c r="E563" s="157" t="s">
        <v>20</v>
      </c>
      <c r="F563" s="40"/>
      <c r="G563" s="42"/>
      <c r="H563" s="160" t="s">
        <v>14</v>
      </c>
      <c r="I563" s="135"/>
      <c r="J563" s="135"/>
      <c r="K563" s="136"/>
      <c r="L563" s="48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3" s="48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3" s="48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3" s="48">
        <f t="shared" ca="1" si="394"/>
        <v>0</v>
      </c>
      <c r="P563" s="48">
        <f t="shared" ca="1" si="395"/>
        <v>0</v>
      </c>
      <c r="Q563" s="48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3" s="48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3" s="48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3" s="48">
        <f t="shared" ca="1" si="397"/>
        <v>0</v>
      </c>
      <c r="U563" s="48">
        <f t="shared" ca="1" si="398"/>
        <v>0</v>
      </c>
    </row>
    <row r="564" spans="1:21" ht="18.75" hidden="1" x14ac:dyDescent="0.25">
      <c r="A564" s="128"/>
      <c r="B564" s="40"/>
      <c r="C564" s="40"/>
      <c r="D564" s="40"/>
      <c r="E564" s="47" t="s">
        <v>21</v>
      </c>
      <c r="F564" s="40"/>
      <c r="G564" s="42"/>
      <c r="H564" s="137" t="s">
        <v>14</v>
      </c>
      <c r="I564" s="135"/>
      <c r="J564" s="135"/>
      <c r="K564" s="136"/>
      <c r="L564" s="46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4" s="46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4" s="46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4" s="46">
        <f t="shared" ca="1" si="394"/>
        <v>0</v>
      </c>
      <c r="P564" s="46">
        <f t="shared" ca="1" si="395"/>
        <v>0</v>
      </c>
      <c r="Q564" s="46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4" s="46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4" s="46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4" s="46">
        <f t="shared" ca="1" si="397"/>
        <v>0</v>
      </c>
      <c r="U564" s="46">
        <f t="shared" ca="1" si="398"/>
        <v>0</v>
      </c>
    </row>
    <row r="565" spans="1:21" ht="19.5" hidden="1" x14ac:dyDescent="0.3">
      <c r="A565" s="138"/>
      <c r="B565" s="139"/>
      <c r="C565" s="391" t="s">
        <v>18</v>
      </c>
      <c r="D565" s="140" t="s">
        <v>38</v>
      </c>
      <c r="E565" s="141"/>
      <c r="F565" s="141"/>
      <c r="G565" s="142"/>
      <c r="H565" s="143"/>
      <c r="I565" s="135"/>
      <c r="J565" s="44"/>
      <c r="K565" s="45"/>
      <c r="L565" s="45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390">
        <f t="shared" ref="I576:J576" si="407">I588</f>
        <v>0</v>
      </c>
      <c r="J576" s="390">
        <f t="shared" si="407"/>
        <v>0</v>
      </c>
      <c r="K576" s="382">
        <f>IF(I576&gt;0,J576*100/I576,0)</f>
        <v>0</v>
      </c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40"/>
      <c r="C577" s="129" t="s">
        <v>18</v>
      </c>
      <c r="D577" s="130" t="s">
        <v>19</v>
      </c>
      <c r="E577" s="40"/>
      <c r="F577" s="40"/>
      <c r="G577" s="42"/>
      <c r="H577" s="131" t="s">
        <v>14</v>
      </c>
      <c r="I577" s="44"/>
      <c r="J577" s="44"/>
      <c r="K577" s="45"/>
      <c r="L577" s="132">
        <f t="shared" ref="L577:N577" ca="1" si="408">L578+L579</f>
        <v>0</v>
      </c>
      <c r="M577" s="132">
        <f t="shared" ca="1" si="408"/>
        <v>0</v>
      </c>
      <c r="N577" s="132">
        <f t="shared" ca="1" si="408"/>
        <v>0</v>
      </c>
      <c r="O577" s="132">
        <f t="shared" ref="O577:O585" ca="1" si="409">IF(L577&gt;0,N577*100/L577,0)</f>
        <v>0</v>
      </c>
      <c r="P577" s="132">
        <f t="shared" ref="P577:P585" ca="1" si="410">IF(M577&gt;0,N577*100/M577,0)</f>
        <v>0</v>
      </c>
      <c r="Q577" s="132">
        <f t="shared" ref="Q577:S577" ca="1" si="411">Q578+Q579</f>
        <v>0</v>
      </c>
      <c r="R577" s="132">
        <f t="shared" ca="1" si="411"/>
        <v>0</v>
      </c>
      <c r="S577" s="132">
        <f t="shared" ca="1" si="411"/>
        <v>0</v>
      </c>
      <c r="T577" s="132">
        <f t="shared" ref="T577:T585" ca="1" si="412">IF(Q577&gt;0,S577*100/Q577,0)</f>
        <v>0</v>
      </c>
      <c r="U577" s="132">
        <f t="shared" ref="U577:U585" ca="1" si="413">IF(R577&gt;0,S577*100/R577,0)</f>
        <v>0</v>
      </c>
    </row>
    <row r="578" spans="1:21" ht="18.75" hidden="1" x14ac:dyDescent="0.25">
      <c r="A578" s="128"/>
      <c r="B578" s="159"/>
      <c r="C578" s="40"/>
      <c r="D578" s="40"/>
      <c r="E578" s="157" t="s">
        <v>20</v>
      </c>
      <c r="F578" s="40"/>
      <c r="G578" s="42"/>
      <c r="H578" s="158" t="s">
        <v>14</v>
      </c>
      <c r="I578" s="44"/>
      <c r="J578" s="44"/>
      <c r="K578" s="45"/>
      <c r="L578" s="48">
        <f t="shared" ref="L578:N578" ca="1" si="414">L581+L584</f>
        <v>0</v>
      </c>
      <c r="M578" s="48">
        <f t="shared" ca="1" si="414"/>
        <v>0</v>
      </c>
      <c r="N578" s="48">
        <f t="shared" ca="1" si="414"/>
        <v>0</v>
      </c>
      <c r="O578" s="48">
        <f t="shared" ca="1" si="409"/>
        <v>0</v>
      </c>
      <c r="P578" s="48">
        <f t="shared" ca="1" si="410"/>
        <v>0</v>
      </c>
      <c r="Q578" s="48">
        <f t="shared" ref="Q578:S578" ca="1" si="415">Q581+Q584</f>
        <v>0</v>
      </c>
      <c r="R578" s="48">
        <f t="shared" ca="1" si="415"/>
        <v>0</v>
      </c>
      <c r="S578" s="48">
        <f t="shared" ca="1" si="415"/>
        <v>0</v>
      </c>
      <c r="T578" s="48">
        <f t="shared" ca="1" si="412"/>
        <v>0</v>
      </c>
      <c r="U578" s="48">
        <f t="shared" ca="1" si="413"/>
        <v>0</v>
      </c>
    </row>
    <row r="579" spans="1:21" ht="18.75" hidden="1" x14ac:dyDescent="0.25">
      <c r="A579" s="128"/>
      <c r="B579" s="40"/>
      <c r="C579" s="159"/>
      <c r="D579" s="40"/>
      <c r="E579" s="225" t="s">
        <v>21</v>
      </c>
      <c r="F579" s="40"/>
      <c r="G579" s="42"/>
      <c r="H579" s="133" t="s">
        <v>14</v>
      </c>
      <c r="I579" s="44"/>
      <c r="J579" s="44"/>
      <c r="K579" s="45"/>
      <c r="L579" s="46">
        <f t="shared" ref="L579:N579" ca="1" si="416">L582+L585</f>
        <v>0</v>
      </c>
      <c r="M579" s="46">
        <f t="shared" ca="1" si="416"/>
        <v>0</v>
      </c>
      <c r="N579" s="46">
        <f t="shared" ca="1" si="416"/>
        <v>0</v>
      </c>
      <c r="O579" s="46">
        <f t="shared" ca="1" si="409"/>
        <v>0</v>
      </c>
      <c r="P579" s="46">
        <f t="shared" ca="1" si="410"/>
        <v>0</v>
      </c>
      <c r="Q579" s="46">
        <f t="shared" ref="Q579:S579" ca="1" si="417">Q582+Q585</f>
        <v>0</v>
      </c>
      <c r="R579" s="46">
        <f t="shared" ca="1" si="417"/>
        <v>0</v>
      </c>
      <c r="S579" s="46">
        <f t="shared" ca="1" si="417"/>
        <v>0</v>
      </c>
      <c r="T579" s="46">
        <f t="shared" ca="1" si="412"/>
        <v>0</v>
      </c>
      <c r="U579" s="46">
        <f t="shared" ca="1" si="413"/>
        <v>0</v>
      </c>
    </row>
    <row r="580" spans="1:21" ht="18.75" hidden="1" x14ac:dyDescent="0.25">
      <c r="A580" s="128"/>
      <c r="B580" s="40"/>
      <c r="C580" s="159"/>
      <c r="D580" s="41" t="s">
        <v>22</v>
      </c>
      <c r="E580" s="159"/>
      <c r="F580" s="40"/>
      <c r="G580" s="42"/>
      <c r="H580" s="134" t="s">
        <v>14</v>
      </c>
      <c r="I580" s="135"/>
      <c r="J580" s="135"/>
      <c r="K580" s="136"/>
      <c r="L580" s="46">
        <f t="shared" ref="L580:N580" ca="1" si="418">L581+L582</f>
        <v>0</v>
      </c>
      <c r="M580" s="46">
        <f t="shared" ca="1" si="418"/>
        <v>0</v>
      </c>
      <c r="N580" s="46">
        <f t="shared" ca="1" si="418"/>
        <v>0</v>
      </c>
      <c r="O580" s="46">
        <f t="shared" ca="1" si="409"/>
        <v>0</v>
      </c>
      <c r="P580" s="46">
        <f t="shared" ca="1" si="410"/>
        <v>0</v>
      </c>
      <c r="Q580" s="46">
        <f t="shared" ref="Q580:S580" ca="1" si="419">Q581+Q582</f>
        <v>0</v>
      </c>
      <c r="R580" s="46">
        <f t="shared" ca="1" si="419"/>
        <v>0</v>
      </c>
      <c r="S580" s="46">
        <f t="shared" ca="1" si="419"/>
        <v>0</v>
      </c>
      <c r="T580" s="46">
        <f t="shared" ca="1" si="412"/>
        <v>0</v>
      </c>
      <c r="U580" s="46">
        <f t="shared" ca="1" si="413"/>
        <v>0</v>
      </c>
    </row>
    <row r="581" spans="1:21" ht="18.75" hidden="1" x14ac:dyDescent="0.25">
      <c r="A581" s="128"/>
      <c r="B581" s="40"/>
      <c r="C581" s="40"/>
      <c r="D581" s="40"/>
      <c r="E581" s="157" t="s">
        <v>36</v>
      </c>
      <c r="F581" s="40"/>
      <c r="G581" s="42"/>
      <c r="H581" s="160" t="s">
        <v>14</v>
      </c>
      <c r="I581" s="135"/>
      <c r="J581" s="135"/>
      <c r="K581" s="136"/>
      <c r="L581" s="48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1" s="48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1" s="48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1" s="48">
        <f t="shared" ca="1" si="409"/>
        <v>0</v>
      </c>
      <c r="P581" s="48">
        <f t="shared" ca="1" si="410"/>
        <v>0</v>
      </c>
      <c r="Q581" s="48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1" s="48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1" s="48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1" s="48">
        <f t="shared" ca="1" si="412"/>
        <v>0</v>
      </c>
      <c r="U581" s="48">
        <f t="shared" ca="1" si="413"/>
        <v>0</v>
      </c>
    </row>
    <row r="582" spans="1:21" ht="18.75" hidden="1" x14ac:dyDescent="0.25">
      <c r="A582" s="128"/>
      <c r="B582" s="40"/>
      <c r="C582" s="40"/>
      <c r="D582" s="40"/>
      <c r="E582" s="47" t="s">
        <v>37</v>
      </c>
      <c r="F582" s="40"/>
      <c r="G582" s="42"/>
      <c r="H582" s="134" t="s">
        <v>14</v>
      </c>
      <c r="I582" s="135"/>
      <c r="J582" s="135"/>
      <c r="K582" s="136"/>
      <c r="L582" s="46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0)</f>
        <v>0</v>
      </c>
      <c r="M582" s="46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0)</f>
        <v>0</v>
      </c>
      <c r="N582" s="46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0)</f>
        <v>0</v>
      </c>
      <c r="O582" s="46">
        <f t="shared" ca="1" si="409"/>
        <v>0</v>
      </c>
      <c r="P582" s="46">
        <f t="shared" ca="1" si="410"/>
        <v>0</v>
      </c>
      <c r="Q582" s="46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2" s="46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2" s="46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2" s="46">
        <f t="shared" ca="1" si="412"/>
        <v>0</v>
      </c>
      <c r="U582" s="46">
        <f t="shared" ca="1" si="413"/>
        <v>0</v>
      </c>
    </row>
    <row r="583" spans="1:21" ht="18.75" hidden="1" x14ac:dyDescent="0.25">
      <c r="A583" s="128"/>
      <c r="B583" s="40"/>
      <c r="C583" s="40"/>
      <c r="D583" s="41" t="s">
        <v>23</v>
      </c>
      <c r="E583" s="40"/>
      <c r="F583" s="40"/>
      <c r="G583" s="42"/>
      <c r="H583" s="137" t="s">
        <v>14</v>
      </c>
      <c r="I583" s="135"/>
      <c r="J583" s="135"/>
      <c r="K583" s="136"/>
      <c r="L583" s="46">
        <f t="shared" ref="L583:N583" ca="1" si="420">L584+L585</f>
        <v>0</v>
      </c>
      <c r="M583" s="46">
        <f t="shared" ca="1" si="420"/>
        <v>0</v>
      </c>
      <c r="N583" s="46">
        <f t="shared" ca="1" si="420"/>
        <v>0</v>
      </c>
      <c r="O583" s="46">
        <f t="shared" ca="1" si="409"/>
        <v>0</v>
      </c>
      <c r="P583" s="46">
        <f t="shared" ca="1" si="410"/>
        <v>0</v>
      </c>
      <c r="Q583" s="46">
        <f t="shared" ref="Q583:S583" ca="1" si="421">Q584+Q585</f>
        <v>0</v>
      </c>
      <c r="R583" s="46">
        <f t="shared" ca="1" si="421"/>
        <v>0</v>
      </c>
      <c r="S583" s="46">
        <f t="shared" ca="1" si="421"/>
        <v>0</v>
      </c>
      <c r="T583" s="46">
        <f t="shared" ca="1" si="412"/>
        <v>0</v>
      </c>
      <c r="U583" s="46">
        <f t="shared" ca="1" si="413"/>
        <v>0</v>
      </c>
    </row>
    <row r="584" spans="1:21" ht="18.75" hidden="1" x14ac:dyDescent="0.25">
      <c r="A584" s="128"/>
      <c r="B584" s="40"/>
      <c r="C584" s="40"/>
      <c r="D584" s="40"/>
      <c r="E584" s="157" t="s">
        <v>20</v>
      </c>
      <c r="F584" s="40"/>
      <c r="G584" s="42"/>
      <c r="H584" s="160" t="s">
        <v>14</v>
      </c>
      <c r="I584" s="135"/>
      <c r="J584" s="135"/>
      <c r="K584" s="136"/>
      <c r="L584" s="48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4" s="48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4" s="48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4" s="48">
        <f t="shared" ca="1" si="409"/>
        <v>0</v>
      </c>
      <c r="P584" s="48">
        <f t="shared" ca="1" si="410"/>
        <v>0</v>
      </c>
      <c r="Q584" s="48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4" s="48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4" s="48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4" s="48">
        <f t="shared" ca="1" si="412"/>
        <v>0</v>
      </c>
      <c r="U584" s="48">
        <f t="shared" ca="1" si="413"/>
        <v>0</v>
      </c>
    </row>
    <row r="585" spans="1:21" ht="18.75" hidden="1" x14ac:dyDescent="0.25">
      <c r="A585" s="128"/>
      <c r="B585" s="40"/>
      <c r="C585" s="40"/>
      <c r="D585" s="40"/>
      <c r="E585" s="47" t="s">
        <v>21</v>
      </c>
      <c r="F585" s="40"/>
      <c r="G585" s="42"/>
      <c r="H585" s="137" t="s">
        <v>14</v>
      </c>
      <c r="I585" s="135"/>
      <c r="J585" s="135"/>
      <c r="K585" s="136"/>
      <c r="L585" s="46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5" s="46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5" s="46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5" s="46">
        <f t="shared" ca="1" si="409"/>
        <v>0</v>
      </c>
      <c r="P585" s="46">
        <f t="shared" ca="1" si="410"/>
        <v>0</v>
      </c>
      <c r="Q585" s="46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5" s="46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5" s="46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5" s="46">
        <f t="shared" ca="1" si="412"/>
        <v>0</v>
      </c>
      <c r="U585" s="46">
        <f t="shared" ca="1" si="413"/>
        <v>0</v>
      </c>
    </row>
    <row r="586" spans="1:21" ht="19.5" hidden="1" x14ac:dyDescent="0.3">
      <c r="A586" s="138"/>
      <c r="B586" s="139"/>
      <c r="C586" s="391" t="s">
        <v>18</v>
      </c>
      <c r="D586" s="140" t="s">
        <v>38</v>
      </c>
      <c r="E586" s="141"/>
      <c r="F586" s="141"/>
      <c r="G586" s="142"/>
      <c r="H586" s="143"/>
      <c r="I586" s="135"/>
      <c r="J586" s="44"/>
      <c r="K586" s="45"/>
      <c r="L586" s="45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489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132">
        <f t="shared" ref="L600:N600" ca="1" si="422">L601+L602</f>
        <v>0</v>
      </c>
      <c r="M600" s="132">
        <f t="shared" ca="1" si="422"/>
        <v>0</v>
      </c>
      <c r="N600" s="132">
        <f t="shared" ca="1" si="422"/>
        <v>0</v>
      </c>
      <c r="O600" s="132">
        <f t="shared" ref="O600:O608" ca="1" si="423">IF(L600&gt;0,N600*100/L600,0)</f>
        <v>0</v>
      </c>
      <c r="P600" s="132">
        <f t="shared" ref="P600:P608" ca="1" si="424">IF(M600&gt;0,N600*100/M600,0)</f>
        <v>0</v>
      </c>
      <c r="Q600" s="132">
        <f t="shared" ref="Q600:S600" ca="1" si="425">Q601+Q602</f>
        <v>0</v>
      </c>
      <c r="R600" s="132">
        <f t="shared" ca="1" si="425"/>
        <v>0</v>
      </c>
      <c r="S600" s="132">
        <f t="shared" ca="1" si="425"/>
        <v>0</v>
      </c>
      <c r="T600" s="132">
        <f t="shared" ref="T600:T608" ca="1" si="426">IF(Q600&gt;0,S600*100/Q600,0)</f>
        <v>0</v>
      </c>
      <c r="U600" s="132">
        <f t="shared" ref="U600:U608" ca="1" si="427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0"/>
      <c r="G601" s="42"/>
      <c r="H601" s="160" t="s">
        <v>14</v>
      </c>
      <c r="I601" s="44"/>
      <c r="J601" s="44"/>
      <c r="K601" s="45"/>
      <c r="L601" s="48">
        <f t="shared" ref="L601:N601" ca="1" si="428">L604+L607</f>
        <v>0</v>
      </c>
      <c r="M601" s="48">
        <f t="shared" ca="1" si="428"/>
        <v>0</v>
      </c>
      <c r="N601" s="48">
        <f t="shared" ca="1" si="428"/>
        <v>0</v>
      </c>
      <c r="O601" s="48">
        <f t="shared" ca="1" si="423"/>
        <v>0</v>
      </c>
      <c r="P601" s="48">
        <f t="shared" ca="1" si="424"/>
        <v>0</v>
      </c>
      <c r="Q601" s="48">
        <f t="shared" ref="Q601:S601" ca="1" si="429">Q604+Q607</f>
        <v>0</v>
      </c>
      <c r="R601" s="48">
        <f t="shared" ca="1" si="429"/>
        <v>0</v>
      </c>
      <c r="S601" s="48">
        <f t="shared" ca="1" si="429"/>
        <v>0</v>
      </c>
      <c r="T601" s="48">
        <f t="shared" ca="1" si="426"/>
        <v>0</v>
      </c>
      <c r="U601" s="48">
        <f t="shared" ca="1" si="427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0"/>
      <c r="G602" s="42"/>
      <c r="H602" s="160" t="s">
        <v>14</v>
      </c>
      <c r="I602" s="44"/>
      <c r="J602" s="44"/>
      <c r="K602" s="45"/>
      <c r="L602" s="46">
        <f t="shared" ref="L602:N602" ca="1" si="430">L605+L608</f>
        <v>0</v>
      </c>
      <c r="M602" s="46">
        <f t="shared" ca="1" si="430"/>
        <v>0</v>
      </c>
      <c r="N602" s="46">
        <f t="shared" ca="1" si="430"/>
        <v>0</v>
      </c>
      <c r="O602" s="46">
        <f t="shared" ca="1" si="423"/>
        <v>0</v>
      </c>
      <c r="P602" s="46">
        <f t="shared" ca="1" si="424"/>
        <v>0</v>
      </c>
      <c r="Q602" s="46">
        <f t="shared" ref="Q602:S602" ca="1" si="431">Q605+Q608</f>
        <v>0</v>
      </c>
      <c r="R602" s="46">
        <f t="shared" ca="1" si="431"/>
        <v>0</v>
      </c>
      <c r="S602" s="46">
        <f t="shared" ca="1" si="431"/>
        <v>0</v>
      </c>
      <c r="T602" s="46">
        <f t="shared" ca="1" si="426"/>
        <v>0</v>
      </c>
      <c r="U602" s="46">
        <f t="shared" ca="1" si="427"/>
        <v>0</v>
      </c>
    </row>
    <row r="603" spans="1:21" ht="19.5" hidden="1" x14ac:dyDescent="0.3">
      <c r="A603" s="128"/>
      <c r="B603" s="159"/>
      <c r="C603" s="159"/>
      <c r="D603" s="399" t="s">
        <v>22</v>
      </c>
      <c r="E603" s="40"/>
      <c r="F603" s="40"/>
      <c r="G603" s="42"/>
      <c r="H603" s="398" t="s">
        <v>14</v>
      </c>
      <c r="I603" s="135"/>
      <c r="J603" s="135"/>
      <c r="K603" s="136"/>
      <c r="L603" s="46">
        <f t="shared" ref="L603:N603" ca="1" si="432">L604+L605</f>
        <v>0</v>
      </c>
      <c r="M603" s="46">
        <f t="shared" ca="1" si="432"/>
        <v>0</v>
      </c>
      <c r="N603" s="46">
        <f t="shared" ca="1" si="432"/>
        <v>0</v>
      </c>
      <c r="O603" s="46">
        <f t="shared" ca="1" si="423"/>
        <v>0</v>
      </c>
      <c r="P603" s="46">
        <f t="shared" ca="1" si="424"/>
        <v>0</v>
      </c>
      <c r="Q603" s="46">
        <f t="shared" ref="Q603:S603" ca="1" si="433">Q604+Q605</f>
        <v>0</v>
      </c>
      <c r="R603" s="46">
        <f t="shared" ca="1" si="433"/>
        <v>0</v>
      </c>
      <c r="S603" s="46">
        <f t="shared" ca="1" si="433"/>
        <v>0</v>
      </c>
      <c r="T603" s="46">
        <f t="shared" ca="1" si="426"/>
        <v>0</v>
      </c>
      <c r="U603" s="46">
        <f t="shared" ca="1" si="427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0"/>
      <c r="G604" s="42"/>
      <c r="H604" s="160" t="s">
        <v>14</v>
      </c>
      <c r="I604" s="44"/>
      <c r="J604" s="44"/>
      <c r="K604" s="45"/>
      <c r="L604" s="48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4" s="48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4" s="48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4" s="48">
        <f t="shared" ca="1" si="423"/>
        <v>0</v>
      </c>
      <c r="P604" s="48">
        <f t="shared" ca="1" si="424"/>
        <v>0</v>
      </c>
      <c r="Q604" s="48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4" s="48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4" s="48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4" s="48">
        <f t="shared" ca="1" si="426"/>
        <v>0</v>
      </c>
      <c r="U604" s="48">
        <f t="shared" ca="1" si="427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0"/>
      <c r="G605" s="42"/>
      <c r="H605" s="160" t="s">
        <v>14</v>
      </c>
      <c r="I605" s="44"/>
      <c r="J605" s="44"/>
      <c r="K605" s="45"/>
      <c r="L605" s="46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0)</f>
        <v>0</v>
      </c>
      <c r="M605" s="46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0)</f>
        <v>0</v>
      </c>
      <c r="N605" s="46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0)</f>
        <v>0</v>
      </c>
      <c r="O605" s="46">
        <f t="shared" ca="1" si="423"/>
        <v>0</v>
      </c>
      <c r="P605" s="46">
        <f t="shared" ca="1" si="424"/>
        <v>0</v>
      </c>
      <c r="Q605" s="46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5" s="46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5" s="46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5" s="46">
        <f t="shared" ca="1" si="426"/>
        <v>0</v>
      </c>
      <c r="U605" s="46">
        <f t="shared" ca="1" si="427"/>
        <v>0</v>
      </c>
    </row>
    <row r="606" spans="1:21" ht="19.5" hidden="1" x14ac:dyDescent="0.3">
      <c r="A606" s="128"/>
      <c r="B606" s="159"/>
      <c r="C606" s="159"/>
      <c r="D606" s="399" t="s">
        <v>23</v>
      </c>
      <c r="E606" s="159"/>
      <c r="F606" s="40"/>
      <c r="G606" s="42"/>
      <c r="H606" s="400" t="s">
        <v>14</v>
      </c>
      <c r="I606" s="135"/>
      <c r="J606" s="135"/>
      <c r="K606" s="136"/>
      <c r="L606" s="46">
        <f t="shared" ref="L606:N606" ca="1" si="434">L607+L608</f>
        <v>0</v>
      </c>
      <c r="M606" s="46">
        <f t="shared" ca="1" si="434"/>
        <v>0</v>
      </c>
      <c r="N606" s="46">
        <f t="shared" ca="1" si="434"/>
        <v>0</v>
      </c>
      <c r="O606" s="46">
        <f t="shared" ca="1" si="423"/>
        <v>0</v>
      </c>
      <c r="P606" s="46">
        <f t="shared" ca="1" si="424"/>
        <v>0</v>
      </c>
      <c r="Q606" s="46">
        <f t="shared" ref="Q606:S606" ca="1" si="435">Q607+Q608</f>
        <v>0</v>
      </c>
      <c r="R606" s="46">
        <f t="shared" ca="1" si="435"/>
        <v>0</v>
      </c>
      <c r="S606" s="46">
        <f t="shared" ca="1" si="435"/>
        <v>0</v>
      </c>
      <c r="T606" s="46">
        <f t="shared" ca="1" si="426"/>
        <v>0</v>
      </c>
      <c r="U606" s="46">
        <f t="shared" ca="1" si="427"/>
        <v>0</v>
      </c>
    </row>
    <row r="607" spans="1:21" ht="18.75" hidden="1" x14ac:dyDescent="0.25">
      <c r="A607" s="128"/>
      <c r="B607" s="159"/>
      <c r="C607" s="159"/>
      <c r="D607" s="159"/>
      <c r="E607" s="339" t="s">
        <v>20</v>
      </c>
      <c r="F607" s="40"/>
      <c r="G607" s="42"/>
      <c r="H607" s="160" t="s">
        <v>14</v>
      </c>
      <c r="I607" s="135"/>
      <c r="J607" s="135"/>
      <c r="K607" s="136"/>
      <c r="L607" s="48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7" s="48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7" s="48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7" s="48">
        <f t="shared" ca="1" si="423"/>
        <v>0</v>
      </c>
      <c r="P607" s="48">
        <f t="shared" ca="1" si="424"/>
        <v>0</v>
      </c>
      <c r="Q607" s="48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7" s="48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7" s="48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7" s="48">
        <f t="shared" ca="1" si="426"/>
        <v>0</v>
      </c>
      <c r="U607" s="48">
        <f t="shared" ca="1" si="427"/>
        <v>0</v>
      </c>
    </row>
    <row r="608" spans="1:21" ht="18.75" hidden="1" x14ac:dyDescent="0.25">
      <c r="A608" s="128"/>
      <c r="B608" s="159"/>
      <c r="C608" s="159"/>
      <c r="D608" s="40"/>
      <c r="E608" s="339" t="s">
        <v>21</v>
      </c>
      <c r="F608" s="40"/>
      <c r="G608" s="42"/>
      <c r="H608" s="401" t="s">
        <v>14</v>
      </c>
      <c r="I608" s="135"/>
      <c r="J608" s="135"/>
      <c r="K608" s="136"/>
      <c r="L608" s="46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8" s="46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8" s="46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8" s="46">
        <f t="shared" ca="1" si="423"/>
        <v>0</v>
      </c>
      <c r="P608" s="46">
        <f t="shared" ca="1" si="424"/>
        <v>0</v>
      </c>
      <c r="Q608" s="46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8" s="46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8" s="46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8" s="46">
        <f t="shared" ca="1" si="426"/>
        <v>0</v>
      </c>
      <c r="U608" s="46">
        <f t="shared" ca="1" si="427"/>
        <v>0</v>
      </c>
    </row>
    <row r="609" spans="1:21" ht="19.5" hidden="1" x14ac:dyDescent="0.3">
      <c r="A609" s="138"/>
      <c r="B609" s="139"/>
      <c r="C609" s="190" t="s">
        <v>18</v>
      </c>
      <c r="D609" s="402" t="s">
        <v>38</v>
      </c>
      <c r="E609" s="141"/>
      <c r="F609" s="141"/>
      <c r="G609" s="142"/>
      <c r="H609" s="191"/>
      <c r="I609" s="135"/>
      <c r="J609" s="135"/>
      <c r="K609" s="136"/>
      <c r="L609" s="45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45"/>
      <c r="F610" s="145"/>
      <c r="G610" s="143"/>
      <c r="H610" s="160" t="s">
        <v>99</v>
      </c>
      <c r="I610" s="44"/>
      <c r="J610" s="44"/>
      <c r="K610" s="136"/>
      <c r="L610" s="45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45"/>
      <c r="F611" s="145"/>
      <c r="G611" s="143"/>
      <c r="H611" s="398" t="s">
        <v>35</v>
      </c>
      <c r="I611" s="44"/>
      <c r="J611" s="44"/>
      <c r="K611" s="136"/>
      <c r="L611" s="45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45"/>
      <c r="G612" s="143"/>
      <c r="H612" s="401" t="s">
        <v>35</v>
      </c>
      <c r="I612" s="44"/>
      <c r="J612" s="44"/>
      <c r="K612" s="136"/>
      <c r="L612" s="45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8.75" hidden="1" x14ac:dyDescent="0.25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412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426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436">I627</f>
        <v>550</v>
      </c>
      <c r="J616" s="432">
        <f t="shared" ca="1" si="436"/>
        <v>0</v>
      </c>
      <c r="K616" s="433">
        <f ca="1">IF(I616&gt;0,J616*100/I616,0)</f>
        <v>0</v>
      </c>
      <c r="L616" s="434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492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132">
        <f t="shared" ref="L617:N617" ca="1" si="437">L618+L619</f>
        <v>0</v>
      </c>
      <c r="M617" s="132">
        <f t="shared" ca="1" si="437"/>
        <v>0</v>
      </c>
      <c r="N617" s="132">
        <f t="shared" ca="1" si="437"/>
        <v>0</v>
      </c>
      <c r="O617" s="132">
        <f t="shared" ref="O617:O625" ca="1" si="438">IF(L617&gt;0,N617*100/L617,0)</f>
        <v>0</v>
      </c>
      <c r="P617" s="132">
        <f t="shared" ref="P617:P625" ca="1" si="439">IF(M617&gt;0,N617*100/M617,0)</f>
        <v>0</v>
      </c>
      <c r="Q617" s="132">
        <f t="shared" ref="Q617:S617" ca="1" si="440">Q618+Q619</f>
        <v>83175</v>
      </c>
      <c r="R617" s="132">
        <f t="shared" ca="1" si="440"/>
        <v>83175</v>
      </c>
      <c r="S617" s="132">
        <f t="shared" ca="1" si="440"/>
        <v>12875</v>
      </c>
      <c r="T617" s="132">
        <f t="shared" ref="T617:T625" ca="1" si="441">IF(Q617&gt;0,S617*100/Q617,0)</f>
        <v>15.47941088067328</v>
      </c>
      <c r="U617" s="132">
        <f t="shared" ref="U617:U625" ca="1" si="442">IF(R617&gt;0,S617*100/R617,0)</f>
        <v>15.47941088067328</v>
      </c>
    </row>
    <row r="618" spans="1:21" ht="18.75" x14ac:dyDescent="0.25">
      <c r="A618" s="128"/>
      <c r="B618" s="159"/>
      <c r="C618" s="159"/>
      <c r="D618" s="145"/>
      <c r="E618" s="157" t="s">
        <v>158</v>
      </c>
      <c r="F618" s="40"/>
      <c r="G618" s="42"/>
      <c r="H618" s="160" t="s">
        <v>14</v>
      </c>
      <c r="I618" s="44"/>
      <c r="J618" s="44"/>
      <c r="K618" s="45"/>
      <c r="L618" s="48">
        <f t="shared" ref="L618:N618" ca="1" si="443">L621+L624</f>
        <v>0</v>
      </c>
      <c r="M618" s="48">
        <f t="shared" ca="1" si="443"/>
        <v>0</v>
      </c>
      <c r="N618" s="48">
        <f t="shared" ca="1" si="443"/>
        <v>0</v>
      </c>
      <c r="O618" s="48">
        <f t="shared" ca="1" si="438"/>
        <v>0</v>
      </c>
      <c r="P618" s="48">
        <f t="shared" ca="1" si="439"/>
        <v>0</v>
      </c>
      <c r="Q618" s="48">
        <f t="shared" ref="Q618:S618" ca="1" si="444">Q621+Q624</f>
        <v>0</v>
      </c>
      <c r="R618" s="48">
        <f t="shared" ca="1" si="444"/>
        <v>0</v>
      </c>
      <c r="S618" s="48">
        <f t="shared" ca="1" si="444"/>
        <v>0</v>
      </c>
      <c r="T618" s="48">
        <f t="shared" ca="1" si="441"/>
        <v>0</v>
      </c>
      <c r="U618" s="48">
        <f t="shared" ca="1" si="442"/>
        <v>0</v>
      </c>
    </row>
    <row r="619" spans="1:21" ht="18.75" x14ac:dyDescent="0.25">
      <c r="A619" s="128"/>
      <c r="B619" s="159"/>
      <c r="C619" s="159"/>
      <c r="D619" s="145"/>
      <c r="E619" s="47" t="s">
        <v>159</v>
      </c>
      <c r="F619" s="40"/>
      <c r="G619" s="42"/>
      <c r="H619" s="134" t="s">
        <v>14</v>
      </c>
      <c r="I619" s="44"/>
      <c r="J619" s="44"/>
      <c r="K619" s="45"/>
      <c r="L619" s="46">
        <f t="shared" ref="L619:N619" ca="1" si="445">L622+L625</f>
        <v>0</v>
      </c>
      <c r="M619" s="46">
        <f t="shared" ca="1" si="445"/>
        <v>0</v>
      </c>
      <c r="N619" s="46">
        <f t="shared" ca="1" si="445"/>
        <v>0</v>
      </c>
      <c r="O619" s="46">
        <f t="shared" ca="1" si="438"/>
        <v>0</v>
      </c>
      <c r="P619" s="46">
        <f t="shared" ca="1" si="439"/>
        <v>0</v>
      </c>
      <c r="Q619" s="46">
        <f t="shared" ref="Q619:S619" ca="1" si="446">Q622+Q625</f>
        <v>83175</v>
      </c>
      <c r="R619" s="46">
        <f t="shared" ca="1" si="446"/>
        <v>83175</v>
      </c>
      <c r="S619" s="46">
        <f t="shared" ca="1" si="446"/>
        <v>12875</v>
      </c>
      <c r="T619" s="46">
        <f t="shared" ca="1" si="441"/>
        <v>15.47941088067328</v>
      </c>
      <c r="U619" s="46">
        <f t="shared" ca="1" si="442"/>
        <v>15.47941088067328</v>
      </c>
    </row>
    <row r="620" spans="1:21" ht="18.75" x14ac:dyDescent="0.25">
      <c r="A620" s="128"/>
      <c r="B620" s="159"/>
      <c r="C620" s="159"/>
      <c r="D620" s="41" t="s">
        <v>22</v>
      </c>
      <c r="E620" s="40"/>
      <c r="F620" s="40"/>
      <c r="G620" s="42"/>
      <c r="H620" s="134" t="s">
        <v>14</v>
      </c>
      <c r="I620" s="135"/>
      <c r="J620" s="135"/>
      <c r="K620" s="136"/>
      <c r="L620" s="46">
        <f t="shared" ref="L620:N620" ca="1" si="447">L621+L622</f>
        <v>0</v>
      </c>
      <c r="M620" s="46">
        <f t="shared" ca="1" si="447"/>
        <v>0</v>
      </c>
      <c r="N620" s="46">
        <f t="shared" ca="1" si="447"/>
        <v>0</v>
      </c>
      <c r="O620" s="46">
        <f t="shared" ca="1" si="438"/>
        <v>0</v>
      </c>
      <c r="P620" s="46">
        <f t="shared" ca="1" si="439"/>
        <v>0</v>
      </c>
      <c r="Q620" s="46">
        <f t="shared" ref="Q620:S620" ca="1" si="448">Q621+Q622</f>
        <v>83175</v>
      </c>
      <c r="R620" s="46">
        <f t="shared" ca="1" si="448"/>
        <v>83175</v>
      </c>
      <c r="S620" s="46">
        <f t="shared" ca="1" si="448"/>
        <v>12875</v>
      </c>
      <c r="T620" s="46">
        <f t="shared" ca="1" si="441"/>
        <v>15.47941088067328</v>
      </c>
      <c r="U620" s="46">
        <f t="shared" ca="1" si="442"/>
        <v>15.47941088067328</v>
      </c>
    </row>
    <row r="621" spans="1:21" ht="18.75" x14ac:dyDescent="0.25">
      <c r="A621" s="128"/>
      <c r="B621" s="159"/>
      <c r="C621" s="159"/>
      <c r="D621" s="145"/>
      <c r="E621" s="157" t="s">
        <v>158</v>
      </c>
      <c r="F621" s="40"/>
      <c r="G621" s="42"/>
      <c r="H621" s="160" t="s">
        <v>14</v>
      </c>
      <c r="I621" s="44"/>
      <c r="J621" s="44"/>
      <c r="K621" s="45"/>
      <c r="L621" s="48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1" s="48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1" s="48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1" s="48">
        <f t="shared" ca="1" si="438"/>
        <v>0</v>
      </c>
      <c r="P621" s="48">
        <f t="shared" ca="1" si="439"/>
        <v>0</v>
      </c>
      <c r="Q621" s="48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1" s="48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1" s="48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1" s="48">
        <f t="shared" ca="1" si="441"/>
        <v>0</v>
      </c>
      <c r="U621" s="48">
        <f t="shared" ca="1" si="442"/>
        <v>0</v>
      </c>
    </row>
    <row r="622" spans="1:21" ht="18.75" x14ac:dyDescent="0.25">
      <c r="A622" s="128"/>
      <c r="B622" s="159"/>
      <c r="C622" s="159"/>
      <c r="D622" s="145"/>
      <c r="E622" s="47" t="s">
        <v>159</v>
      </c>
      <c r="F622" s="40"/>
      <c r="G622" s="42"/>
      <c r="H622" s="134" t="s">
        <v>14</v>
      </c>
      <c r="I622" s="44"/>
      <c r="J622" s="44"/>
      <c r="K622" s="45"/>
      <c r="L622" s="46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2" s="46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2" s="46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2" s="46">
        <f t="shared" ca="1" si="438"/>
        <v>0</v>
      </c>
      <c r="P622" s="46">
        <f t="shared" ca="1" si="439"/>
        <v>0</v>
      </c>
      <c r="Q622" s="46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2" s="46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2" s="46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12875)</f>
        <v>12875</v>
      </c>
      <c r="T622" s="46">
        <f t="shared" ca="1" si="441"/>
        <v>15.47941088067328</v>
      </c>
      <c r="U622" s="46">
        <f t="shared" ca="1" si="442"/>
        <v>15.47941088067328</v>
      </c>
    </row>
    <row r="623" spans="1:21" ht="18.75" x14ac:dyDescent="0.25">
      <c r="A623" s="128"/>
      <c r="B623" s="159"/>
      <c r="C623" s="159"/>
      <c r="D623" s="41" t="s">
        <v>23</v>
      </c>
      <c r="E623" s="40"/>
      <c r="F623" s="40"/>
      <c r="G623" s="42"/>
      <c r="H623" s="137" t="s">
        <v>14</v>
      </c>
      <c r="I623" s="135"/>
      <c r="J623" s="135"/>
      <c r="K623" s="136"/>
      <c r="L623" s="46">
        <f t="shared" ref="L623:N623" ca="1" si="449">L624+L625</f>
        <v>0</v>
      </c>
      <c r="M623" s="46">
        <f t="shared" ca="1" si="449"/>
        <v>0</v>
      </c>
      <c r="N623" s="46">
        <f t="shared" ca="1" si="449"/>
        <v>0</v>
      </c>
      <c r="O623" s="46">
        <f t="shared" ca="1" si="438"/>
        <v>0</v>
      </c>
      <c r="P623" s="46">
        <f t="shared" ca="1" si="439"/>
        <v>0</v>
      </c>
      <c r="Q623" s="46">
        <f t="shared" ref="Q623:S623" ca="1" si="450">Q624+Q625</f>
        <v>0</v>
      </c>
      <c r="R623" s="46">
        <f t="shared" ca="1" si="450"/>
        <v>0</v>
      </c>
      <c r="S623" s="46">
        <f t="shared" ca="1" si="450"/>
        <v>0</v>
      </c>
      <c r="T623" s="46">
        <f t="shared" ca="1" si="441"/>
        <v>0</v>
      </c>
      <c r="U623" s="46">
        <f t="shared" ca="1" si="442"/>
        <v>0</v>
      </c>
    </row>
    <row r="624" spans="1:21" ht="18.75" x14ac:dyDescent="0.25">
      <c r="A624" s="128"/>
      <c r="B624" s="159"/>
      <c r="C624" s="159"/>
      <c r="D624" s="159"/>
      <c r="E624" s="157" t="s">
        <v>20</v>
      </c>
      <c r="F624" s="40"/>
      <c r="G624" s="42"/>
      <c r="H624" s="160" t="s">
        <v>14</v>
      </c>
      <c r="I624" s="135"/>
      <c r="J624" s="135"/>
      <c r="K624" s="136"/>
      <c r="L624" s="48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4" s="48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4" s="48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4" s="48">
        <f t="shared" ca="1" si="438"/>
        <v>0</v>
      </c>
      <c r="P624" s="48">
        <f t="shared" ca="1" si="439"/>
        <v>0</v>
      </c>
      <c r="Q624" s="48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4" s="48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4" s="48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4" s="48">
        <f t="shared" ca="1" si="441"/>
        <v>0</v>
      </c>
      <c r="U624" s="48">
        <f t="shared" ca="1" si="442"/>
        <v>0</v>
      </c>
    </row>
    <row r="625" spans="1:21" ht="18.75" x14ac:dyDescent="0.25">
      <c r="A625" s="128"/>
      <c r="B625" s="159"/>
      <c r="C625" s="159"/>
      <c r="D625" s="159"/>
      <c r="E625" s="47" t="s">
        <v>21</v>
      </c>
      <c r="F625" s="40"/>
      <c r="G625" s="42"/>
      <c r="H625" s="137" t="s">
        <v>14</v>
      </c>
      <c r="I625" s="135"/>
      <c r="J625" s="135"/>
      <c r="K625" s="136"/>
      <c r="L625" s="46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5" s="46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5" s="46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5" s="46">
        <f t="shared" ca="1" si="438"/>
        <v>0</v>
      </c>
      <c r="P625" s="46">
        <f t="shared" ca="1" si="439"/>
        <v>0</v>
      </c>
      <c r="Q625" s="46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5" s="46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5" s="46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5" s="46">
        <f t="shared" ca="1" si="441"/>
        <v>0</v>
      </c>
      <c r="U625" s="46">
        <f t="shared" ca="1" si="442"/>
        <v>0</v>
      </c>
    </row>
    <row r="626" spans="1:21" ht="19.5" x14ac:dyDescent="0.3">
      <c r="A626" s="138"/>
      <c r="B626" s="139"/>
      <c r="C626" s="190" t="s">
        <v>18</v>
      </c>
      <c r="D626" s="435" t="s">
        <v>38</v>
      </c>
      <c r="E626" s="141"/>
      <c r="F626" s="141"/>
      <c r="G626" s="142"/>
      <c r="H626" s="191"/>
      <c r="I626" s="135"/>
      <c r="J626" s="135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45"/>
      <c r="F627" s="145"/>
      <c r="G627" s="143"/>
      <c r="H627" s="437" t="s">
        <v>46</v>
      </c>
      <c r="I627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7" s="147">
        <f ca="1">J633</f>
        <v>0</v>
      </c>
      <c r="K627" s="132">
        <f ca="1">IF(I627&gt;0,J627*100/I627,0)</f>
        <v>0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8" s="168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10)</f>
        <v>10</v>
      </c>
      <c r="K628" s="46">
        <f t="shared" ref="K628:K629" ca="1" si="451">IF(I628&gt;0,(J628*100)/I628,0)</f>
        <v>111.11111111111111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9" s="168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10)</f>
        <v>10</v>
      </c>
      <c r="K629" s="46">
        <f t="shared" ca="1" si="451"/>
        <v>111.11111111111111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45"/>
      <c r="G630" s="143"/>
      <c r="H630" s="137" t="s">
        <v>46</v>
      </c>
      <c r="I630" s="44"/>
      <c r="J630" s="168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30" s="46">
        <f t="shared" ref="K630:K632" ca="1" si="452">IF(I$627&gt;0,J630*100/I$627,0)</f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45"/>
      <c r="G631" s="143"/>
      <c r="H631" s="137" t="s">
        <v>46</v>
      </c>
      <c r="I631" s="44"/>
      <c r="J631" s="168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1" s="46">
        <f t="shared" ca="1" si="452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45"/>
      <c r="G632" s="143"/>
      <c r="H632" s="137" t="s">
        <v>46</v>
      </c>
      <c r="I632" s="44"/>
      <c r="J632" s="168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2" s="46">
        <f t="shared" ca="1" si="452"/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45"/>
      <c r="G633" s="143"/>
      <c r="H633" s="137" t="s">
        <v>46</v>
      </c>
      <c r="I633" s="44"/>
      <c r="J633" s="147">
        <f ca="1">J634+J635</f>
        <v>0</v>
      </c>
      <c r="K633" s="132">
        <f ca="1">IF(I627&gt;0,J633*100/I627,0)</f>
        <v>0</v>
      </c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67" t="s">
        <v>230</v>
      </c>
      <c r="G634" s="143"/>
      <c r="H634" s="137" t="s">
        <v>46</v>
      </c>
      <c r="I634" s="44"/>
      <c r="J634" s="168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4" s="45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67" t="s">
        <v>231</v>
      </c>
      <c r="G635" s="143"/>
      <c r="H635" s="137" t="s">
        <v>46</v>
      </c>
      <c r="I635" s="44"/>
      <c r="J635" s="168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5" s="45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6" s="147">
        <f ca="1">J637</f>
        <v>0</v>
      </c>
      <c r="K636" s="132">
        <f ca="1">IF(I636&gt;0,J636*100/I636,0)</f>
        <v>0</v>
      </c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45"/>
      <c r="G637" s="143"/>
      <c r="H637" s="137" t="s">
        <v>46</v>
      </c>
      <c r="I637" s="44"/>
      <c r="J637" s="152">
        <f ca="1">J638+J639</f>
        <v>0</v>
      </c>
      <c r="K637" s="45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67" t="s">
        <v>230</v>
      </c>
      <c r="G638" s="143"/>
      <c r="H638" s="137" t="s">
        <v>46</v>
      </c>
      <c r="I638" s="44"/>
      <c r="J638" s="168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8" s="45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67" t="s">
        <v>231</v>
      </c>
      <c r="G639" s="143"/>
      <c r="H639" s="137" t="s">
        <v>46</v>
      </c>
      <c r="I639" s="44"/>
      <c r="J639" s="168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9" s="45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45"/>
      <c r="G640" s="143"/>
      <c r="H640" s="137" t="s">
        <v>46</v>
      </c>
      <c r="I640" s="44"/>
      <c r="J640" s="168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40" s="45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67" t="s">
        <v>235</v>
      </c>
      <c r="G641" s="143"/>
      <c r="H641" s="137" t="s">
        <v>46</v>
      </c>
      <c r="I641" s="44"/>
      <c r="J641" s="168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1" s="45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434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x14ac:dyDescent="0.3">
      <c r="A643" s="128"/>
      <c r="B643" s="159"/>
      <c r="C643" s="440" t="s">
        <v>18</v>
      </c>
      <c r="D643" s="492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132">
        <f t="shared" ref="L643:N643" ca="1" si="453">L644+L645</f>
        <v>0</v>
      </c>
      <c r="M643" s="132">
        <f t="shared" ca="1" si="453"/>
        <v>0</v>
      </c>
      <c r="N643" s="132">
        <f t="shared" ca="1" si="453"/>
        <v>0</v>
      </c>
      <c r="O643" s="132">
        <f t="shared" ref="O643:O651" ca="1" si="454">IF(L643&gt;0,N643*100/L643,0)</f>
        <v>0</v>
      </c>
      <c r="P643" s="132">
        <f t="shared" ref="P643:P651" ca="1" si="455">IF(M643&gt;0,N643*100/M643,0)</f>
        <v>0</v>
      </c>
      <c r="Q643" s="132">
        <f t="shared" ref="Q643:S643" ca="1" si="456">Q644+Q645</f>
        <v>8200</v>
      </c>
      <c r="R643" s="132">
        <f t="shared" ca="1" si="456"/>
        <v>8200</v>
      </c>
      <c r="S643" s="132">
        <f t="shared" ca="1" si="456"/>
        <v>0</v>
      </c>
      <c r="T643" s="132">
        <f t="shared" ref="T643:T651" ca="1" si="457">IF(Q643&gt;0,S643*100/Q643,0)</f>
        <v>0</v>
      </c>
      <c r="U643" s="132">
        <f t="shared" ref="U643:U651" ca="1" si="458">IF(R643&gt;0,S643*100/R643,0)</f>
        <v>0</v>
      </c>
    </row>
    <row r="644" spans="1:21" ht="18.75" x14ac:dyDescent="0.25">
      <c r="A644" s="128"/>
      <c r="B644" s="159"/>
      <c r="C644" s="159"/>
      <c r="D644" s="145"/>
      <c r="E644" s="157" t="s">
        <v>158</v>
      </c>
      <c r="F644" s="40"/>
      <c r="G644" s="42"/>
      <c r="H644" s="160" t="s">
        <v>14</v>
      </c>
      <c r="I644" s="44"/>
      <c r="J644" s="44"/>
      <c r="K644" s="45"/>
      <c r="L644" s="48">
        <f t="shared" ref="L644:N644" ca="1" si="459">L647+L650</f>
        <v>0</v>
      </c>
      <c r="M644" s="48">
        <f t="shared" ca="1" si="459"/>
        <v>0</v>
      </c>
      <c r="N644" s="48">
        <f t="shared" ca="1" si="459"/>
        <v>0</v>
      </c>
      <c r="O644" s="48">
        <f t="shared" ca="1" si="454"/>
        <v>0</v>
      </c>
      <c r="P644" s="48">
        <f t="shared" ca="1" si="455"/>
        <v>0</v>
      </c>
      <c r="Q644" s="48">
        <f t="shared" ref="Q644:S644" ca="1" si="460">Q647+Q650</f>
        <v>0</v>
      </c>
      <c r="R644" s="48">
        <f t="shared" ca="1" si="460"/>
        <v>0</v>
      </c>
      <c r="S644" s="48">
        <f t="shared" ca="1" si="460"/>
        <v>0</v>
      </c>
      <c r="T644" s="48">
        <f t="shared" ca="1" si="457"/>
        <v>0</v>
      </c>
      <c r="U644" s="48">
        <f t="shared" ca="1" si="458"/>
        <v>0</v>
      </c>
    </row>
    <row r="645" spans="1:21" ht="18.75" x14ac:dyDescent="0.25">
      <c r="A645" s="128"/>
      <c r="B645" s="159"/>
      <c r="C645" s="159"/>
      <c r="D645" s="145"/>
      <c r="E645" s="47" t="s">
        <v>159</v>
      </c>
      <c r="F645" s="40"/>
      <c r="G645" s="42"/>
      <c r="H645" s="134" t="s">
        <v>14</v>
      </c>
      <c r="I645" s="44"/>
      <c r="J645" s="44"/>
      <c r="K645" s="45"/>
      <c r="L645" s="46">
        <f t="shared" ref="L645:N645" ca="1" si="461">L648+L651</f>
        <v>0</v>
      </c>
      <c r="M645" s="46">
        <f t="shared" ca="1" si="461"/>
        <v>0</v>
      </c>
      <c r="N645" s="46">
        <f t="shared" ca="1" si="461"/>
        <v>0</v>
      </c>
      <c r="O645" s="46">
        <f t="shared" ca="1" si="454"/>
        <v>0</v>
      </c>
      <c r="P645" s="46">
        <f t="shared" ca="1" si="455"/>
        <v>0</v>
      </c>
      <c r="Q645" s="46">
        <f t="shared" ref="Q645:S645" ca="1" si="462">Q648+Q651</f>
        <v>8200</v>
      </c>
      <c r="R645" s="46">
        <f t="shared" ca="1" si="462"/>
        <v>8200</v>
      </c>
      <c r="S645" s="46">
        <f t="shared" ca="1" si="462"/>
        <v>0</v>
      </c>
      <c r="T645" s="46">
        <f t="shared" ca="1" si="457"/>
        <v>0</v>
      </c>
      <c r="U645" s="46">
        <f t="shared" ca="1" si="458"/>
        <v>0</v>
      </c>
    </row>
    <row r="646" spans="1:21" ht="18.75" x14ac:dyDescent="0.25">
      <c r="A646" s="128"/>
      <c r="B646" s="159"/>
      <c r="C646" s="159"/>
      <c r="D646" s="41" t="s">
        <v>22</v>
      </c>
      <c r="E646" s="40"/>
      <c r="F646" s="40"/>
      <c r="G646" s="42"/>
      <c r="H646" s="134" t="s">
        <v>14</v>
      </c>
      <c r="I646" s="135"/>
      <c r="J646" s="135"/>
      <c r="K646" s="136"/>
      <c r="L646" s="46">
        <f t="shared" ref="L646:N646" ca="1" si="463">L647+L648</f>
        <v>0</v>
      </c>
      <c r="M646" s="46">
        <f t="shared" ca="1" si="463"/>
        <v>0</v>
      </c>
      <c r="N646" s="46">
        <f t="shared" ca="1" si="463"/>
        <v>0</v>
      </c>
      <c r="O646" s="46">
        <f t="shared" ca="1" si="454"/>
        <v>0</v>
      </c>
      <c r="P646" s="46">
        <f t="shared" ca="1" si="455"/>
        <v>0</v>
      </c>
      <c r="Q646" s="46">
        <f t="shared" ref="Q646:S646" ca="1" si="464">Q647+Q648</f>
        <v>8200</v>
      </c>
      <c r="R646" s="46">
        <f t="shared" ca="1" si="464"/>
        <v>8200</v>
      </c>
      <c r="S646" s="46">
        <f t="shared" ca="1" si="464"/>
        <v>0</v>
      </c>
      <c r="T646" s="46">
        <f t="shared" ca="1" si="457"/>
        <v>0</v>
      </c>
      <c r="U646" s="46">
        <f t="shared" ca="1" si="458"/>
        <v>0</v>
      </c>
    </row>
    <row r="647" spans="1:21" ht="18.75" x14ac:dyDescent="0.25">
      <c r="A647" s="128"/>
      <c r="B647" s="159"/>
      <c r="C647" s="159"/>
      <c r="D647" s="145"/>
      <c r="E647" s="157" t="s">
        <v>158</v>
      </c>
      <c r="F647" s="40"/>
      <c r="G647" s="42"/>
      <c r="H647" s="160" t="s">
        <v>14</v>
      </c>
      <c r="I647" s="44"/>
      <c r="J647" s="44"/>
      <c r="K647" s="45"/>
      <c r="L647" s="48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7" s="48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7" s="48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7" s="48">
        <f t="shared" ca="1" si="454"/>
        <v>0</v>
      </c>
      <c r="P647" s="48">
        <f t="shared" ca="1" si="455"/>
        <v>0</v>
      </c>
      <c r="Q647" s="48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7" s="48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7" s="48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7" s="48">
        <f t="shared" ca="1" si="457"/>
        <v>0</v>
      </c>
      <c r="U647" s="48">
        <f t="shared" ca="1" si="458"/>
        <v>0</v>
      </c>
    </row>
    <row r="648" spans="1:21" ht="18.75" x14ac:dyDescent="0.25">
      <c r="A648" s="128"/>
      <c r="B648" s="159"/>
      <c r="C648" s="159"/>
      <c r="D648" s="145"/>
      <c r="E648" s="47" t="s">
        <v>159</v>
      </c>
      <c r="F648" s="40"/>
      <c r="G648" s="42"/>
      <c r="H648" s="134" t="s">
        <v>14</v>
      </c>
      <c r="I648" s="44"/>
      <c r="J648" s="44"/>
      <c r="K648" s="45"/>
      <c r="L648" s="46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8" s="46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8" s="46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8" s="46">
        <f t="shared" ca="1" si="454"/>
        <v>0</v>
      </c>
      <c r="P648" s="46">
        <f t="shared" ca="1" si="455"/>
        <v>0</v>
      </c>
      <c r="Q648" s="46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8" s="46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8" s="46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8" s="46">
        <f t="shared" ca="1" si="457"/>
        <v>0</v>
      </c>
      <c r="U648" s="46">
        <f t="shared" ca="1" si="458"/>
        <v>0</v>
      </c>
    </row>
    <row r="649" spans="1:21" ht="18.75" x14ac:dyDescent="0.25">
      <c r="A649" s="128"/>
      <c r="B649" s="159"/>
      <c r="C649" s="159"/>
      <c r="D649" s="41" t="s">
        <v>23</v>
      </c>
      <c r="E649" s="40"/>
      <c r="F649" s="40"/>
      <c r="G649" s="42"/>
      <c r="H649" s="137" t="s">
        <v>14</v>
      </c>
      <c r="I649" s="135"/>
      <c r="J649" s="135"/>
      <c r="K649" s="136"/>
      <c r="L649" s="46">
        <f t="shared" ref="L649:N649" ca="1" si="465">L650+L651</f>
        <v>0</v>
      </c>
      <c r="M649" s="46">
        <f t="shared" ca="1" si="465"/>
        <v>0</v>
      </c>
      <c r="N649" s="46">
        <f t="shared" ca="1" si="465"/>
        <v>0</v>
      </c>
      <c r="O649" s="46">
        <f t="shared" ca="1" si="454"/>
        <v>0</v>
      </c>
      <c r="P649" s="46">
        <f t="shared" ca="1" si="455"/>
        <v>0</v>
      </c>
      <c r="Q649" s="46">
        <f t="shared" ref="Q649:S649" ca="1" si="466">Q650+Q651</f>
        <v>0</v>
      </c>
      <c r="R649" s="46">
        <f t="shared" ca="1" si="466"/>
        <v>0</v>
      </c>
      <c r="S649" s="46">
        <f t="shared" ca="1" si="466"/>
        <v>0</v>
      </c>
      <c r="T649" s="46">
        <f t="shared" ca="1" si="457"/>
        <v>0</v>
      </c>
      <c r="U649" s="46">
        <f t="shared" ca="1" si="458"/>
        <v>0</v>
      </c>
    </row>
    <row r="650" spans="1:21" ht="18.75" x14ac:dyDescent="0.25">
      <c r="A650" s="128"/>
      <c r="B650" s="159"/>
      <c r="C650" s="159"/>
      <c r="D650" s="40"/>
      <c r="E650" s="157" t="s">
        <v>20</v>
      </c>
      <c r="F650" s="40"/>
      <c r="G650" s="42"/>
      <c r="H650" s="160" t="s">
        <v>14</v>
      </c>
      <c r="I650" s="135"/>
      <c r="J650" s="135"/>
      <c r="K650" s="136"/>
      <c r="L650" s="48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50" s="48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50" s="48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50" s="48">
        <f t="shared" ca="1" si="454"/>
        <v>0</v>
      </c>
      <c r="P650" s="48">
        <f t="shared" ca="1" si="455"/>
        <v>0</v>
      </c>
      <c r="Q650" s="48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50" s="48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50" s="48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50" s="48">
        <f t="shared" ca="1" si="457"/>
        <v>0</v>
      </c>
      <c r="U650" s="48">
        <f t="shared" ca="1" si="458"/>
        <v>0</v>
      </c>
    </row>
    <row r="651" spans="1:21" ht="18.75" x14ac:dyDescent="0.25">
      <c r="A651" s="128"/>
      <c r="B651" s="159"/>
      <c r="C651" s="159"/>
      <c r="D651" s="40"/>
      <c r="E651" s="47" t="s">
        <v>21</v>
      </c>
      <c r="F651" s="40"/>
      <c r="G651" s="42"/>
      <c r="H651" s="137" t="s">
        <v>14</v>
      </c>
      <c r="I651" s="135"/>
      <c r="J651" s="135"/>
      <c r="K651" s="136"/>
      <c r="L651" s="46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1" s="46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1" s="46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1" s="46">
        <f t="shared" ca="1" si="454"/>
        <v>0</v>
      </c>
      <c r="P651" s="46">
        <f t="shared" ca="1" si="455"/>
        <v>0</v>
      </c>
      <c r="Q651" s="46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1" s="46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1" s="46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1" s="46">
        <f t="shared" ca="1" si="457"/>
        <v>0</v>
      </c>
      <c r="U651" s="46">
        <f t="shared" ca="1" si="458"/>
        <v>0</v>
      </c>
    </row>
    <row r="652" spans="1:21" ht="19.5" x14ac:dyDescent="0.3">
      <c r="A652" s="138"/>
      <c r="B652" s="139"/>
      <c r="C652" s="440" t="s">
        <v>18</v>
      </c>
      <c r="D652" s="441" t="s">
        <v>38</v>
      </c>
      <c r="E652" s="141"/>
      <c r="F652" s="141"/>
      <c r="G652" s="142"/>
      <c r="H652" s="191"/>
      <c r="I652" s="135"/>
      <c r="J652" s="135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</row>
    <row r="653" spans="1:21" ht="18.75" x14ac:dyDescent="0.25">
      <c r="A653" s="224"/>
      <c r="B653" s="159"/>
      <c r="C653" s="159"/>
      <c r="D653" s="47" t="s">
        <v>237</v>
      </c>
      <c r="E653" s="40"/>
      <c r="F653" s="40"/>
      <c r="G653" s="42"/>
      <c r="H653" s="137" t="s">
        <v>46</v>
      </c>
      <c r="I653" s="442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3" s="442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3" s="46">
        <f t="shared" ref="K653:K655" ca="1" si="467">IF(I653&gt;0,J653*100/I653,0)</f>
        <v>0</v>
      </c>
      <c r="L653" s="45"/>
      <c r="M653" s="45"/>
      <c r="N653" s="45"/>
      <c r="O653" s="45"/>
      <c r="P653" s="45"/>
      <c r="Q653" s="45"/>
      <c r="R653" s="45"/>
      <c r="S653" s="45"/>
      <c r="T653" s="45"/>
      <c r="U653" s="45"/>
    </row>
    <row r="654" spans="1:21" ht="18.75" x14ac:dyDescent="0.25">
      <c r="A654" s="224"/>
      <c r="B654" s="159"/>
      <c r="C654" s="159"/>
      <c r="D654" s="47" t="s">
        <v>238</v>
      </c>
      <c r="E654" s="40"/>
      <c r="F654" s="40"/>
      <c r="G654" s="42"/>
      <c r="H654" s="137" t="s">
        <v>35</v>
      </c>
      <c r="I654" s="442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4" s="442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4" s="46">
        <f t="shared" ca="1" si="467"/>
        <v>0</v>
      </c>
      <c r="L654" s="45"/>
      <c r="M654" s="45"/>
      <c r="N654" s="45"/>
      <c r="O654" s="45"/>
      <c r="P654" s="45"/>
      <c r="Q654" s="45"/>
      <c r="R654" s="45"/>
      <c r="S654" s="45"/>
      <c r="T654" s="45"/>
      <c r="U654" s="45"/>
    </row>
    <row r="655" spans="1:21" ht="19.5" x14ac:dyDescent="0.3">
      <c r="A655" s="224"/>
      <c r="B655" s="159"/>
      <c r="C655" s="159"/>
      <c r="D655" s="47" t="s">
        <v>239</v>
      </c>
      <c r="E655" s="40"/>
      <c r="F655" s="40"/>
      <c r="G655" s="42"/>
      <c r="H655" s="437" t="s">
        <v>46</v>
      </c>
      <c r="I655" s="443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5" s="147">
        <f ca="1">J658+J661</f>
        <v>0</v>
      </c>
      <c r="K655" s="132">
        <f t="shared" ca="1" si="467"/>
        <v>0</v>
      </c>
      <c r="L655" s="45"/>
      <c r="M655" s="45"/>
      <c r="N655" s="45"/>
      <c r="O655" s="45"/>
      <c r="P655" s="45"/>
      <c r="Q655" s="45"/>
      <c r="R655" s="45"/>
      <c r="S655" s="45"/>
      <c r="T655" s="45"/>
      <c r="U655" s="45"/>
    </row>
    <row r="656" spans="1:21" ht="18.75" x14ac:dyDescent="0.25">
      <c r="A656" s="224"/>
      <c r="B656" s="159"/>
      <c r="C656" s="159"/>
      <c r="D656" s="40"/>
      <c r="E656" s="47" t="s">
        <v>240</v>
      </c>
      <c r="F656" s="40"/>
      <c r="G656" s="42"/>
      <c r="H656" s="137" t="s">
        <v>35</v>
      </c>
      <c r="I656" s="193"/>
      <c r="J656" s="168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</row>
    <row r="657" spans="1:21" ht="18.75" x14ac:dyDescent="0.25">
      <c r="A657" s="224"/>
      <c r="B657" s="159"/>
      <c r="C657" s="159"/>
      <c r="D657" s="40"/>
      <c r="E657" s="40"/>
      <c r="F657" s="40"/>
      <c r="G657" s="42"/>
      <c r="H657" s="137" t="s">
        <v>34</v>
      </c>
      <c r="I657" s="193"/>
      <c r="J657" s="168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</row>
    <row r="658" spans="1:21" ht="18.75" x14ac:dyDescent="0.25">
      <c r="A658" s="224"/>
      <c r="B658" s="159"/>
      <c r="C658" s="159"/>
      <c r="D658" s="40"/>
      <c r="E658" s="40"/>
      <c r="F658" s="40"/>
      <c r="G658" s="42"/>
      <c r="H658" s="137" t="s">
        <v>46</v>
      </c>
      <c r="I658" s="442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8" s="168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</row>
    <row r="659" spans="1:21" ht="18.75" x14ac:dyDescent="0.25">
      <c r="A659" s="224"/>
      <c r="B659" s="159"/>
      <c r="C659" s="159"/>
      <c r="D659" s="40"/>
      <c r="E659" s="47" t="s">
        <v>241</v>
      </c>
      <c r="F659" s="40"/>
      <c r="G659" s="42"/>
      <c r="H659" s="137" t="s">
        <v>35</v>
      </c>
      <c r="I659" s="193"/>
      <c r="J659" s="168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</row>
    <row r="660" spans="1:21" ht="18.75" x14ac:dyDescent="0.25">
      <c r="A660" s="224"/>
      <c r="B660" s="159"/>
      <c r="C660" s="159"/>
      <c r="D660" s="40"/>
      <c r="E660" s="40"/>
      <c r="F660" s="40"/>
      <c r="G660" s="42"/>
      <c r="H660" s="137" t="s">
        <v>34</v>
      </c>
      <c r="I660" s="193"/>
      <c r="J660" s="168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</row>
    <row r="661" spans="1:21" ht="18.75" x14ac:dyDescent="0.25">
      <c r="A661" s="224"/>
      <c r="B661" s="159"/>
      <c r="C661" s="159"/>
      <c r="D661" s="40"/>
      <c r="E661" s="40"/>
      <c r="F661" s="40"/>
      <c r="G661" s="42"/>
      <c r="H661" s="137" t="s">
        <v>46</v>
      </c>
      <c r="I661" s="442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1" s="168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</row>
    <row r="662" spans="1:21" ht="19.5" x14ac:dyDescent="0.3">
      <c r="A662" s="224"/>
      <c r="B662" s="159"/>
      <c r="C662" s="159"/>
      <c r="D662" s="358" t="s">
        <v>242</v>
      </c>
      <c r="E662" s="40"/>
      <c r="F662" s="40"/>
      <c r="G662" s="42"/>
      <c r="H662" s="437" t="s">
        <v>46</v>
      </c>
      <c r="I662" s="443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2" s="147">
        <f ca="1">J668+J671</f>
        <v>0</v>
      </c>
      <c r="K662" s="132">
        <f ca="1">IF(I662&gt;0,J662*100/I662,0)</f>
        <v>0</v>
      </c>
      <c r="L662" s="45"/>
      <c r="M662" s="45"/>
      <c r="N662" s="45"/>
      <c r="O662" s="45"/>
      <c r="P662" s="45"/>
      <c r="Q662" s="45"/>
      <c r="R662" s="45"/>
      <c r="S662" s="45"/>
      <c r="T662" s="45"/>
      <c r="U662" s="45"/>
    </row>
    <row r="663" spans="1:21" ht="18.75" x14ac:dyDescent="0.25">
      <c r="A663" s="224"/>
      <c r="B663" s="159"/>
      <c r="C663" s="159"/>
      <c r="D663" s="40"/>
      <c r="E663" s="47" t="s">
        <v>243</v>
      </c>
      <c r="F663" s="40"/>
      <c r="G663" s="42"/>
      <c r="H663" s="137" t="s">
        <v>34</v>
      </c>
      <c r="I663" s="193"/>
      <c r="J663" s="168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3" s="45"/>
      <c r="L663" s="444"/>
      <c r="M663" s="444"/>
      <c r="N663" s="444"/>
      <c r="O663" s="45"/>
      <c r="P663" s="45"/>
      <c r="Q663" s="444"/>
      <c r="R663" s="444"/>
      <c r="S663" s="444"/>
      <c r="T663" s="45"/>
      <c r="U663" s="45"/>
    </row>
    <row r="664" spans="1:21" ht="18.75" x14ac:dyDescent="0.25">
      <c r="A664" s="224"/>
      <c r="B664" s="159"/>
      <c r="C664" s="159"/>
      <c r="D664" s="40"/>
      <c r="E664" s="40"/>
      <c r="F664" s="40"/>
      <c r="G664" s="42"/>
      <c r="H664" s="137" t="s">
        <v>46</v>
      </c>
      <c r="I664" s="193"/>
      <c r="J664" s="168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4" s="45"/>
      <c r="L664" s="444"/>
      <c r="M664" s="444"/>
      <c r="N664" s="444"/>
      <c r="O664" s="45"/>
      <c r="P664" s="45"/>
      <c r="Q664" s="444"/>
      <c r="R664" s="444"/>
      <c r="S664" s="444"/>
      <c r="T664" s="45"/>
      <c r="U664" s="45"/>
    </row>
    <row r="665" spans="1:21" ht="18.75" x14ac:dyDescent="0.25">
      <c r="A665" s="224"/>
      <c r="B665" s="159"/>
      <c r="C665" s="159"/>
      <c r="D665" s="40"/>
      <c r="E665" s="47" t="s">
        <v>244</v>
      </c>
      <c r="F665" s="40"/>
      <c r="G665" s="42"/>
      <c r="H665" s="191"/>
      <c r="I665" s="193"/>
      <c r="J665" s="44"/>
      <c r="K665" s="45"/>
      <c r="L665" s="444"/>
      <c r="M665" s="444"/>
      <c r="N665" s="444"/>
      <c r="O665" s="45"/>
      <c r="P665" s="45"/>
      <c r="Q665" s="444"/>
      <c r="R665" s="444"/>
      <c r="S665" s="444"/>
      <c r="T665" s="45"/>
      <c r="U665" s="45"/>
    </row>
    <row r="666" spans="1:21" ht="18.75" x14ac:dyDescent="0.25">
      <c r="A666" s="224"/>
      <c r="B666" s="159"/>
      <c r="C666" s="159"/>
      <c r="D666" s="40"/>
      <c r="E666" s="40"/>
      <c r="F666" s="47" t="s">
        <v>245</v>
      </c>
      <c r="G666" s="42"/>
      <c r="H666" s="137" t="s">
        <v>35</v>
      </c>
      <c r="I666" s="193"/>
      <c r="J666" s="168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6" s="45"/>
      <c r="L666" s="444"/>
      <c r="M666" s="444"/>
      <c r="N666" s="444"/>
      <c r="O666" s="45"/>
      <c r="P666" s="45"/>
      <c r="Q666" s="444"/>
      <c r="R666" s="444"/>
      <c r="S666" s="444"/>
      <c r="T666" s="45"/>
      <c r="U666" s="45"/>
    </row>
    <row r="667" spans="1:21" ht="18.75" x14ac:dyDescent="0.25">
      <c r="A667" s="224"/>
      <c r="B667" s="159"/>
      <c r="C667" s="159"/>
      <c r="D667" s="40"/>
      <c r="E667" s="40"/>
      <c r="F667" s="40"/>
      <c r="G667" s="42"/>
      <c r="H667" s="137" t="s">
        <v>34</v>
      </c>
      <c r="I667" s="193"/>
      <c r="J667" s="168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7" s="45"/>
      <c r="L667" s="444"/>
      <c r="M667" s="444"/>
      <c r="N667" s="444"/>
      <c r="O667" s="45"/>
      <c r="P667" s="45"/>
      <c r="Q667" s="444"/>
      <c r="R667" s="444"/>
      <c r="S667" s="444"/>
      <c r="T667" s="45"/>
      <c r="U667" s="45"/>
    </row>
    <row r="668" spans="1:21" ht="18.75" x14ac:dyDescent="0.25">
      <c r="A668" s="224"/>
      <c r="B668" s="159"/>
      <c r="C668" s="159"/>
      <c r="D668" s="40"/>
      <c r="E668" s="40"/>
      <c r="F668" s="40"/>
      <c r="G668" s="42"/>
      <c r="H668" s="137" t="s">
        <v>46</v>
      </c>
      <c r="I668" s="193"/>
      <c r="J668" s="168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8" s="45"/>
      <c r="L668" s="444"/>
      <c r="M668" s="444"/>
      <c r="N668" s="444"/>
      <c r="O668" s="45"/>
      <c r="P668" s="45"/>
      <c r="Q668" s="444"/>
      <c r="R668" s="444"/>
      <c r="S668" s="444"/>
      <c r="T668" s="45"/>
      <c r="U668" s="45"/>
    </row>
    <row r="669" spans="1:21" ht="18.75" x14ac:dyDescent="0.25">
      <c r="A669" s="224"/>
      <c r="B669" s="159"/>
      <c r="C669" s="159"/>
      <c r="D669" s="40"/>
      <c r="E669" s="40"/>
      <c r="F669" s="47" t="s">
        <v>246</v>
      </c>
      <c r="G669" s="42"/>
      <c r="H669" s="137" t="s">
        <v>35</v>
      </c>
      <c r="I669" s="193"/>
      <c r="J669" s="168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9" s="45"/>
      <c r="L669" s="444"/>
      <c r="M669" s="444"/>
      <c r="N669" s="444"/>
      <c r="O669" s="45"/>
      <c r="P669" s="45"/>
      <c r="Q669" s="444"/>
      <c r="R669" s="444"/>
      <c r="S669" s="444"/>
      <c r="T669" s="45"/>
      <c r="U669" s="45"/>
    </row>
    <row r="670" spans="1:21" ht="18.75" x14ac:dyDescent="0.25">
      <c r="A670" s="224"/>
      <c r="B670" s="159"/>
      <c r="C670" s="159"/>
      <c r="D670" s="40"/>
      <c r="E670" s="40"/>
      <c r="F670" s="40"/>
      <c r="G670" s="42"/>
      <c r="H670" s="137" t="s">
        <v>34</v>
      </c>
      <c r="I670" s="193"/>
      <c r="J670" s="168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70" s="45"/>
      <c r="L670" s="444"/>
      <c r="M670" s="444"/>
      <c r="N670" s="444"/>
      <c r="O670" s="45"/>
      <c r="P670" s="45"/>
      <c r="Q670" s="444"/>
      <c r="R670" s="444"/>
      <c r="S670" s="444"/>
      <c r="T670" s="45"/>
      <c r="U670" s="45"/>
    </row>
    <row r="671" spans="1:21" ht="18.75" x14ac:dyDescent="0.25">
      <c r="A671" s="224"/>
      <c r="B671" s="159"/>
      <c r="C671" s="159"/>
      <c r="D671" s="40"/>
      <c r="E671" s="40"/>
      <c r="F671" s="40"/>
      <c r="G671" s="42"/>
      <c r="H671" s="137" t="s">
        <v>46</v>
      </c>
      <c r="I671" s="193"/>
      <c r="J671" s="168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1" s="45"/>
      <c r="L671" s="444"/>
      <c r="M671" s="444"/>
      <c r="N671" s="444"/>
      <c r="O671" s="45"/>
      <c r="P671" s="45"/>
      <c r="Q671" s="444"/>
      <c r="R671" s="444"/>
      <c r="S671" s="444"/>
      <c r="T671" s="45"/>
      <c r="U671" s="45"/>
    </row>
    <row r="672" spans="1:21" ht="18.75" x14ac:dyDescent="0.25">
      <c r="A672" s="224"/>
      <c r="B672" s="159"/>
      <c r="C672" s="159"/>
      <c r="D672" s="47" t="s">
        <v>247</v>
      </c>
      <c r="E672" s="40"/>
      <c r="F672" s="40"/>
      <c r="G672" s="42"/>
      <c r="H672" s="137" t="s">
        <v>35</v>
      </c>
      <c r="I672" s="193"/>
      <c r="J672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</row>
    <row r="673" spans="1:21" ht="18.75" x14ac:dyDescent="0.25">
      <c r="A673" s="224"/>
      <c r="B673" s="159"/>
      <c r="C673" s="159"/>
      <c r="D673" s="40"/>
      <c r="E673" s="40"/>
      <c r="F673" s="40"/>
      <c r="G673" s="42"/>
      <c r="H673" s="137" t="s">
        <v>34</v>
      </c>
      <c r="I673" s="193"/>
      <c r="J673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3" s="45"/>
      <c r="L673" s="444"/>
      <c r="M673" s="444"/>
      <c r="N673" s="444"/>
      <c r="O673" s="45"/>
      <c r="P673" s="45"/>
      <c r="Q673" s="444"/>
      <c r="R673" s="444"/>
      <c r="S673" s="444"/>
      <c r="T673" s="45"/>
      <c r="U673" s="45"/>
    </row>
    <row r="674" spans="1:21" ht="18.75" x14ac:dyDescent="0.25">
      <c r="A674" s="224"/>
      <c r="B674" s="159"/>
      <c r="C674" s="159"/>
      <c r="D674" s="40"/>
      <c r="E674" s="40"/>
      <c r="F674" s="40"/>
      <c r="G674" s="42"/>
      <c r="H674" s="137" t="s">
        <v>46</v>
      </c>
      <c r="I674" s="442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4" s="442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4" s="46">
        <f t="shared" ref="K674:K677" ca="1" si="468">IF(I674&gt;0,J674*100/I674,0)</f>
        <v>0</v>
      </c>
      <c r="L674" s="444"/>
      <c r="M674" s="444"/>
      <c r="N674" s="444"/>
      <c r="O674" s="45"/>
      <c r="P674" s="45"/>
      <c r="Q674" s="444"/>
      <c r="R674" s="444"/>
      <c r="S674" s="444"/>
      <c r="T674" s="45"/>
      <c r="U674" s="45"/>
    </row>
    <row r="675" spans="1:21" ht="19.5" x14ac:dyDescent="0.3">
      <c r="A675" s="224"/>
      <c r="B675" s="159"/>
      <c r="C675" s="159"/>
      <c r="D675" s="47" t="s">
        <v>248</v>
      </c>
      <c r="E675" s="40"/>
      <c r="F675" s="40"/>
      <c r="G675" s="42"/>
      <c r="H675" s="437" t="s">
        <v>35</v>
      </c>
      <c r="I675" s="443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5" s="147">
        <f ca="1">J677+J680</f>
        <v>0</v>
      </c>
      <c r="K675" s="132">
        <f t="shared" ca="1" si="468"/>
        <v>0</v>
      </c>
      <c r="L675" s="444"/>
      <c r="M675" s="444"/>
      <c r="N675" s="444"/>
      <c r="O675" s="45"/>
      <c r="P675" s="45"/>
      <c r="Q675" s="444"/>
      <c r="R675" s="444"/>
      <c r="S675" s="444"/>
      <c r="T675" s="45"/>
      <c r="U675" s="45"/>
    </row>
    <row r="676" spans="1:21" ht="19.5" x14ac:dyDescent="0.3">
      <c r="A676" s="224"/>
      <c r="B676" s="159"/>
      <c r="C676" s="159"/>
      <c r="D676" s="40"/>
      <c r="E676" s="40"/>
      <c r="F676" s="40"/>
      <c r="G676" s="42"/>
      <c r="H676" s="437" t="s">
        <v>46</v>
      </c>
      <c r="I676" s="443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6" s="147">
        <f ca="1">J679+J682</f>
        <v>0</v>
      </c>
      <c r="K676" s="132">
        <f t="shared" ca="1" si="468"/>
        <v>0</v>
      </c>
      <c r="L676" s="45"/>
      <c r="M676" s="45"/>
      <c r="N676" s="45"/>
      <c r="O676" s="45"/>
      <c r="P676" s="45"/>
      <c r="Q676" s="45"/>
      <c r="R676" s="45"/>
      <c r="S676" s="45"/>
      <c r="T676" s="45"/>
      <c r="U676" s="45"/>
    </row>
    <row r="677" spans="1:21" ht="18.75" x14ac:dyDescent="0.25">
      <c r="A677" s="224"/>
      <c r="B677" s="159"/>
      <c r="C677" s="159"/>
      <c r="D677" s="40"/>
      <c r="E677" s="47" t="s">
        <v>249</v>
      </c>
      <c r="F677" s="40"/>
      <c r="G677" s="42"/>
      <c r="H677" s="137" t="s">
        <v>35</v>
      </c>
      <c r="I677" s="442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7" s="442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7" s="46">
        <f t="shared" ca="1" si="468"/>
        <v>0</v>
      </c>
      <c r="L677" s="45"/>
      <c r="M677" s="45"/>
      <c r="N677" s="45"/>
      <c r="O677" s="45"/>
      <c r="P677" s="45"/>
      <c r="Q677" s="45"/>
      <c r="R677" s="45"/>
      <c r="S677" s="45"/>
      <c r="T677" s="45"/>
      <c r="U677" s="45"/>
    </row>
    <row r="678" spans="1:21" ht="18.75" x14ac:dyDescent="0.25">
      <c r="A678" s="224"/>
      <c r="B678" s="159"/>
      <c r="C678" s="159"/>
      <c r="D678" s="40"/>
      <c r="E678" s="40"/>
      <c r="F678" s="40"/>
      <c r="G678" s="42"/>
      <c r="H678" s="137" t="s">
        <v>34</v>
      </c>
      <c r="I678" s="193"/>
      <c r="J678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8" s="45"/>
      <c r="L678" s="444"/>
      <c r="M678" s="444"/>
      <c r="N678" s="444"/>
      <c r="O678" s="45"/>
      <c r="P678" s="45"/>
      <c r="Q678" s="444"/>
      <c r="R678" s="444"/>
      <c r="S678" s="444"/>
      <c r="T678" s="45"/>
      <c r="U678" s="45"/>
    </row>
    <row r="679" spans="1:21" ht="18.75" x14ac:dyDescent="0.25">
      <c r="A679" s="224"/>
      <c r="B679" s="159"/>
      <c r="C679" s="159"/>
      <c r="D679" s="40"/>
      <c r="E679" s="40"/>
      <c r="F679" s="40"/>
      <c r="G679" s="42"/>
      <c r="H679" s="137" t="s">
        <v>46</v>
      </c>
      <c r="I679" s="442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9" s="442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9" s="46">
        <f t="shared" ref="K679:K680" ca="1" si="469">IF(I679&gt;0,J679*100/I679,0)</f>
        <v>0</v>
      </c>
      <c r="L679" s="444"/>
      <c r="M679" s="444"/>
      <c r="N679" s="444"/>
      <c r="O679" s="45"/>
      <c r="P679" s="45"/>
      <c r="Q679" s="444"/>
      <c r="R679" s="444"/>
      <c r="S679" s="444"/>
      <c r="T679" s="45"/>
      <c r="U679" s="45"/>
    </row>
    <row r="680" spans="1:21" ht="18.75" x14ac:dyDescent="0.25">
      <c r="A680" s="224"/>
      <c r="B680" s="159"/>
      <c r="C680" s="159"/>
      <c r="D680" s="40"/>
      <c r="E680" s="47" t="s">
        <v>250</v>
      </c>
      <c r="F680" s="40"/>
      <c r="G680" s="42"/>
      <c r="H680" s="137" t="s">
        <v>35</v>
      </c>
      <c r="I680" s="442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80" s="442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80" s="46">
        <f t="shared" ca="1" si="469"/>
        <v>0</v>
      </c>
      <c r="L680" s="45"/>
      <c r="M680" s="45"/>
      <c r="N680" s="45"/>
      <c r="O680" s="45"/>
      <c r="P680" s="45"/>
      <c r="Q680" s="45"/>
      <c r="R680" s="45"/>
      <c r="S680" s="45"/>
      <c r="T680" s="45"/>
      <c r="U680" s="45"/>
    </row>
    <row r="681" spans="1:21" ht="18.75" x14ac:dyDescent="0.25">
      <c r="A681" s="224"/>
      <c r="B681" s="159"/>
      <c r="C681" s="159"/>
      <c r="D681" s="40"/>
      <c r="E681" s="40"/>
      <c r="F681" s="40"/>
      <c r="G681" s="42"/>
      <c r="H681" s="137" t="s">
        <v>34</v>
      </c>
      <c r="I681" s="193"/>
      <c r="J681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1" s="45"/>
      <c r="L681" s="444"/>
      <c r="M681" s="444"/>
      <c r="N681" s="444"/>
      <c r="O681" s="45"/>
      <c r="P681" s="45"/>
      <c r="Q681" s="444"/>
      <c r="R681" s="444"/>
      <c r="S681" s="444"/>
      <c r="T681" s="45"/>
      <c r="U681" s="45"/>
    </row>
    <row r="682" spans="1:21" ht="18.75" x14ac:dyDescent="0.25">
      <c r="A682" s="224"/>
      <c r="B682" s="159"/>
      <c r="C682" s="159"/>
      <c r="D682" s="40"/>
      <c r="E682" s="40"/>
      <c r="F682" s="40"/>
      <c r="G682" s="42"/>
      <c r="H682" s="137" t="s">
        <v>46</v>
      </c>
      <c r="I682" s="442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2" s="442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2" s="46">
        <f t="shared" ref="K682:K683" ca="1" si="470">IF(I682&gt;0,J682*100/I682,0)</f>
        <v>0</v>
      </c>
      <c r="L682" s="444"/>
      <c r="M682" s="444"/>
      <c r="N682" s="444"/>
      <c r="O682" s="45"/>
      <c r="P682" s="45"/>
      <c r="Q682" s="444"/>
      <c r="R682" s="444"/>
      <c r="S682" s="444"/>
      <c r="T682" s="45"/>
      <c r="U682" s="45"/>
    </row>
    <row r="683" spans="1:21" ht="19.5" x14ac:dyDescent="0.3">
      <c r="A683" s="224"/>
      <c r="B683" s="159"/>
      <c r="C683" s="159"/>
      <c r="D683" s="47" t="s">
        <v>251</v>
      </c>
      <c r="E683" s="40"/>
      <c r="F683" s="40"/>
      <c r="G683" s="42"/>
      <c r="H683" s="437" t="s">
        <v>46</v>
      </c>
      <c r="I683" s="443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3" s="147">
        <f ca="1">J686+J689</f>
        <v>0</v>
      </c>
      <c r="K683" s="132">
        <f t="shared" ca="1" si="470"/>
        <v>0</v>
      </c>
      <c r="L683" s="45"/>
      <c r="M683" s="45"/>
      <c r="N683" s="45"/>
      <c r="O683" s="45"/>
      <c r="P683" s="45"/>
      <c r="Q683" s="45"/>
      <c r="R683" s="45"/>
      <c r="S683" s="45"/>
      <c r="T683" s="45"/>
      <c r="U683" s="45"/>
    </row>
    <row r="684" spans="1:21" ht="18.75" x14ac:dyDescent="0.25">
      <c r="A684" s="224"/>
      <c r="B684" s="159"/>
      <c r="C684" s="159"/>
      <c r="D684" s="40"/>
      <c r="E684" s="47" t="s">
        <v>252</v>
      </c>
      <c r="F684" s="40"/>
      <c r="G684" s="42"/>
      <c r="H684" s="137" t="s">
        <v>35</v>
      </c>
      <c r="I684" s="193"/>
      <c r="J684" s="168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4" s="45"/>
      <c r="L684" s="444"/>
      <c r="M684" s="444"/>
      <c r="N684" s="444"/>
      <c r="O684" s="45"/>
      <c r="P684" s="45"/>
      <c r="Q684" s="444"/>
      <c r="R684" s="444"/>
      <c r="S684" s="444"/>
      <c r="T684" s="45"/>
      <c r="U684" s="45"/>
    </row>
    <row r="685" spans="1:21" ht="18.75" x14ac:dyDescent="0.25">
      <c r="A685" s="224"/>
      <c r="B685" s="159"/>
      <c r="C685" s="159"/>
      <c r="D685" s="40"/>
      <c r="E685" s="40"/>
      <c r="F685" s="40"/>
      <c r="G685" s="42"/>
      <c r="H685" s="137" t="s">
        <v>34</v>
      </c>
      <c r="I685" s="193"/>
      <c r="J685" s="168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5" s="45"/>
      <c r="L685" s="444"/>
      <c r="M685" s="444"/>
      <c r="N685" s="444"/>
      <c r="O685" s="45"/>
      <c r="P685" s="45"/>
      <c r="Q685" s="444"/>
      <c r="R685" s="444"/>
      <c r="S685" s="444"/>
      <c r="T685" s="45"/>
      <c r="U685" s="45"/>
    </row>
    <row r="686" spans="1:21" ht="18.75" x14ac:dyDescent="0.25">
      <c r="A686" s="224"/>
      <c r="B686" s="159"/>
      <c r="C686" s="159"/>
      <c r="D686" s="40"/>
      <c r="E686" s="40"/>
      <c r="F686" s="40"/>
      <c r="G686" s="42"/>
      <c r="H686" s="137" t="s">
        <v>46</v>
      </c>
      <c r="I686" s="193"/>
      <c r="J686" s="168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6" s="45"/>
      <c r="L686" s="444"/>
      <c r="M686" s="444"/>
      <c r="N686" s="444"/>
      <c r="O686" s="45"/>
      <c r="P686" s="45"/>
      <c r="Q686" s="444"/>
      <c r="R686" s="444"/>
      <c r="S686" s="444"/>
      <c r="T686" s="45"/>
      <c r="U686" s="45"/>
    </row>
    <row r="687" spans="1:21" ht="18.75" x14ac:dyDescent="0.25">
      <c r="A687" s="224"/>
      <c r="B687" s="159"/>
      <c r="C687" s="159"/>
      <c r="D687" s="40"/>
      <c r="E687" s="47" t="s">
        <v>253</v>
      </c>
      <c r="F687" s="40"/>
      <c r="G687" s="42"/>
      <c r="H687" s="137" t="s">
        <v>35</v>
      </c>
      <c r="I687" s="193"/>
      <c r="J687" s="168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7" s="45"/>
      <c r="L687" s="444"/>
      <c r="M687" s="444"/>
      <c r="N687" s="444"/>
      <c r="O687" s="45"/>
      <c r="P687" s="45"/>
      <c r="Q687" s="444"/>
      <c r="R687" s="444"/>
      <c r="S687" s="444"/>
      <c r="T687" s="45"/>
      <c r="U687" s="45"/>
    </row>
    <row r="688" spans="1:21" ht="18.75" x14ac:dyDescent="0.25">
      <c r="A688" s="224"/>
      <c r="B688" s="159"/>
      <c r="C688" s="159"/>
      <c r="D688" s="40"/>
      <c r="E688" s="40"/>
      <c r="F688" s="40"/>
      <c r="G688" s="42"/>
      <c r="H688" s="137" t="s">
        <v>34</v>
      </c>
      <c r="I688" s="193"/>
      <c r="J688" s="168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8" s="45"/>
      <c r="L688" s="444"/>
      <c r="M688" s="444"/>
      <c r="N688" s="444"/>
      <c r="O688" s="45"/>
      <c r="P688" s="45"/>
      <c r="Q688" s="444"/>
      <c r="R688" s="444"/>
      <c r="S688" s="444"/>
      <c r="T688" s="45"/>
      <c r="U688" s="45"/>
    </row>
    <row r="689" spans="1:21" ht="19.5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9" s="5"/>
      <c r="L689" s="446"/>
      <c r="M689" s="446"/>
      <c r="N689" s="446"/>
      <c r="O689" s="5"/>
      <c r="P689" s="5"/>
      <c r="Q689" s="446"/>
      <c r="R689" s="446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447" t="s">
        <v>35</v>
      </c>
      <c r="I690" s="448">
        <f t="shared" ref="I690:J690" ca="1" si="471">I708</f>
        <v>76</v>
      </c>
      <c r="J690" s="448">
        <f t="shared" ca="1" si="471"/>
        <v>0</v>
      </c>
      <c r="K690" s="449">
        <f ca="1">IF(I690&gt;0,J690*100/I690,0)</f>
        <v>0</v>
      </c>
      <c r="L690" s="426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492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132">
        <f t="shared" ref="L691:N691" ca="1" si="472">L692+L693</f>
        <v>0</v>
      </c>
      <c r="M691" s="132">
        <f t="shared" ca="1" si="472"/>
        <v>0</v>
      </c>
      <c r="N691" s="132">
        <f t="shared" ca="1" si="472"/>
        <v>0</v>
      </c>
      <c r="O691" s="132">
        <f t="shared" ref="O691:O699" ca="1" si="473">IF(L691&gt;0,N691*100/L691,0)</f>
        <v>0</v>
      </c>
      <c r="P691" s="132">
        <f t="shared" ref="P691:P699" ca="1" si="474">IF(M691&gt;0,N691*100/M691,0)</f>
        <v>0</v>
      </c>
      <c r="Q691" s="132">
        <f t="shared" ref="Q691:S691" ca="1" si="475">Q692+Q693</f>
        <v>865550</v>
      </c>
      <c r="R691" s="132">
        <f t="shared" ca="1" si="475"/>
        <v>865550</v>
      </c>
      <c r="S691" s="132">
        <f t="shared" ca="1" si="475"/>
        <v>29556.78</v>
      </c>
      <c r="T691" s="132">
        <f t="shared" ref="T691:T699" ca="1" si="476">IF(Q691&gt;0,S691*100/Q691,0)</f>
        <v>3.4147975275836173</v>
      </c>
      <c r="U691" s="132">
        <f t="shared" ref="U691:U699" ca="1" si="477">IF(R691&gt;0,S691*100/R691,0)</f>
        <v>3.4147975275836173</v>
      </c>
    </row>
    <row r="692" spans="1:21" ht="18.75" x14ac:dyDescent="0.25">
      <c r="A692" s="128"/>
      <c r="B692" s="159"/>
      <c r="C692" s="159"/>
      <c r="D692" s="145"/>
      <c r="E692" s="157" t="s">
        <v>158</v>
      </c>
      <c r="F692" s="40"/>
      <c r="G692" s="42"/>
      <c r="H692" s="160" t="s">
        <v>14</v>
      </c>
      <c r="I692" s="44"/>
      <c r="J692" s="44"/>
      <c r="K692" s="45"/>
      <c r="L692" s="48">
        <f t="shared" ref="L692:N692" ca="1" si="478">L695+L698</f>
        <v>0</v>
      </c>
      <c r="M692" s="48">
        <f t="shared" ca="1" si="478"/>
        <v>0</v>
      </c>
      <c r="N692" s="48">
        <f t="shared" ca="1" si="478"/>
        <v>0</v>
      </c>
      <c r="O692" s="48">
        <f t="shared" ca="1" si="473"/>
        <v>0</v>
      </c>
      <c r="P692" s="48">
        <f t="shared" ca="1" si="474"/>
        <v>0</v>
      </c>
      <c r="Q692" s="48">
        <f t="shared" ref="Q692:S692" ca="1" si="479">Q695+Q698</f>
        <v>0</v>
      </c>
      <c r="R692" s="48">
        <f t="shared" ca="1" si="479"/>
        <v>0</v>
      </c>
      <c r="S692" s="48">
        <f t="shared" ca="1" si="479"/>
        <v>0</v>
      </c>
      <c r="T692" s="48">
        <f t="shared" ca="1" si="476"/>
        <v>0</v>
      </c>
      <c r="U692" s="48">
        <f t="shared" ca="1" si="477"/>
        <v>0</v>
      </c>
    </row>
    <row r="693" spans="1:21" ht="18.75" x14ac:dyDescent="0.25">
      <c r="A693" s="128"/>
      <c r="B693" s="159"/>
      <c r="C693" s="159"/>
      <c r="D693" s="145"/>
      <c r="E693" s="47" t="s">
        <v>159</v>
      </c>
      <c r="F693" s="40"/>
      <c r="G693" s="42"/>
      <c r="H693" s="134" t="s">
        <v>14</v>
      </c>
      <c r="I693" s="44"/>
      <c r="J693" s="44"/>
      <c r="K693" s="45"/>
      <c r="L693" s="46">
        <f t="shared" ref="L693:N693" ca="1" si="480">L696+L699</f>
        <v>0</v>
      </c>
      <c r="M693" s="46">
        <f t="shared" ca="1" si="480"/>
        <v>0</v>
      </c>
      <c r="N693" s="46">
        <f t="shared" ca="1" si="480"/>
        <v>0</v>
      </c>
      <c r="O693" s="46">
        <f t="shared" ca="1" si="473"/>
        <v>0</v>
      </c>
      <c r="P693" s="46">
        <f t="shared" ca="1" si="474"/>
        <v>0</v>
      </c>
      <c r="Q693" s="46">
        <f t="shared" ref="Q693:S693" ca="1" si="481">Q696+Q699</f>
        <v>865550</v>
      </c>
      <c r="R693" s="46">
        <f t="shared" ca="1" si="481"/>
        <v>865550</v>
      </c>
      <c r="S693" s="46">
        <f t="shared" ca="1" si="481"/>
        <v>29556.78</v>
      </c>
      <c r="T693" s="46">
        <f t="shared" ca="1" si="476"/>
        <v>3.4147975275836173</v>
      </c>
      <c r="U693" s="46">
        <f t="shared" ca="1" si="477"/>
        <v>3.4147975275836173</v>
      </c>
    </row>
    <row r="694" spans="1:21" ht="18.75" x14ac:dyDescent="0.25">
      <c r="A694" s="128"/>
      <c r="B694" s="159"/>
      <c r="C694" s="159"/>
      <c r="D694" s="41" t="s">
        <v>22</v>
      </c>
      <c r="E694" s="40"/>
      <c r="F694" s="40"/>
      <c r="G694" s="42"/>
      <c r="H694" s="134" t="s">
        <v>14</v>
      </c>
      <c r="I694" s="135"/>
      <c r="J694" s="135"/>
      <c r="K694" s="136"/>
      <c r="L694" s="46">
        <f t="shared" ref="L694:N694" ca="1" si="482">L695+L696</f>
        <v>0</v>
      </c>
      <c r="M694" s="46">
        <f t="shared" ca="1" si="482"/>
        <v>0</v>
      </c>
      <c r="N694" s="46">
        <f t="shared" ca="1" si="482"/>
        <v>0</v>
      </c>
      <c r="O694" s="46">
        <f t="shared" ca="1" si="473"/>
        <v>0</v>
      </c>
      <c r="P694" s="46">
        <f t="shared" ca="1" si="474"/>
        <v>0</v>
      </c>
      <c r="Q694" s="46">
        <f t="shared" ref="Q694:S694" ca="1" si="483">Q695+Q696</f>
        <v>865550</v>
      </c>
      <c r="R694" s="46">
        <f t="shared" ca="1" si="483"/>
        <v>865550</v>
      </c>
      <c r="S694" s="46">
        <f t="shared" ca="1" si="483"/>
        <v>29556.78</v>
      </c>
      <c r="T694" s="46">
        <f t="shared" ca="1" si="476"/>
        <v>3.4147975275836173</v>
      </c>
      <c r="U694" s="46">
        <f t="shared" ca="1" si="477"/>
        <v>3.4147975275836173</v>
      </c>
    </row>
    <row r="695" spans="1:21" ht="18.75" x14ac:dyDescent="0.25">
      <c r="A695" s="128"/>
      <c r="B695" s="159"/>
      <c r="C695" s="159"/>
      <c r="D695" s="145"/>
      <c r="E695" s="157" t="s">
        <v>158</v>
      </c>
      <c r="F695" s="40"/>
      <c r="G695" s="42"/>
      <c r="H695" s="160" t="s">
        <v>14</v>
      </c>
      <c r="I695" s="44"/>
      <c r="J695" s="44"/>
      <c r="K695" s="45"/>
      <c r="L695" s="48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5" s="48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5" s="48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5" s="48">
        <f t="shared" ca="1" si="473"/>
        <v>0</v>
      </c>
      <c r="P695" s="48">
        <f t="shared" ca="1" si="474"/>
        <v>0</v>
      </c>
      <c r="Q695" s="48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5" s="48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5" s="48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5" s="48">
        <f t="shared" ca="1" si="476"/>
        <v>0</v>
      </c>
      <c r="U695" s="48">
        <f t="shared" ca="1" si="477"/>
        <v>0</v>
      </c>
    </row>
    <row r="696" spans="1:21" ht="18.75" x14ac:dyDescent="0.25">
      <c r="A696" s="128"/>
      <c r="B696" s="159"/>
      <c r="C696" s="159"/>
      <c r="D696" s="145"/>
      <c r="E696" s="47" t="s">
        <v>159</v>
      </c>
      <c r="F696" s="40"/>
      <c r="G696" s="42"/>
      <c r="H696" s="134" t="s">
        <v>14</v>
      </c>
      <c r="I696" s="44"/>
      <c r="J696" s="44"/>
      <c r="K696" s="45"/>
      <c r="L696" s="46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6" s="46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6" s="46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6" s="46">
        <f t="shared" ca="1" si="473"/>
        <v>0</v>
      </c>
      <c r="P696" s="46">
        <f t="shared" ca="1" si="474"/>
        <v>0</v>
      </c>
      <c r="Q696" s="46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6" s="46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865550)</f>
        <v>865550</v>
      </c>
      <c r="S696" s="46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29556.78)</f>
        <v>29556.78</v>
      </c>
      <c r="T696" s="46">
        <f t="shared" ca="1" si="476"/>
        <v>3.4147975275836173</v>
      </c>
      <c r="U696" s="46">
        <f t="shared" ca="1" si="477"/>
        <v>3.4147975275836173</v>
      </c>
    </row>
    <row r="697" spans="1:21" ht="18.75" x14ac:dyDescent="0.25">
      <c r="A697" s="128"/>
      <c r="B697" s="159"/>
      <c r="C697" s="159"/>
      <c r="D697" s="41" t="s">
        <v>23</v>
      </c>
      <c r="E697" s="40"/>
      <c r="F697" s="40"/>
      <c r="G697" s="42"/>
      <c r="H697" s="137" t="s">
        <v>14</v>
      </c>
      <c r="I697" s="135"/>
      <c r="J697" s="135"/>
      <c r="K697" s="136"/>
      <c r="L697" s="46">
        <f t="shared" ref="L697:N697" ca="1" si="484">L698+L699</f>
        <v>0</v>
      </c>
      <c r="M697" s="46">
        <f t="shared" ca="1" si="484"/>
        <v>0</v>
      </c>
      <c r="N697" s="46">
        <f t="shared" ca="1" si="484"/>
        <v>0</v>
      </c>
      <c r="O697" s="46">
        <f t="shared" ca="1" si="473"/>
        <v>0</v>
      </c>
      <c r="P697" s="46">
        <f t="shared" ca="1" si="474"/>
        <v>0</v>
      </c>
      <c r="Q697" s="46">
        <f t="shared" ref="Q697:S697" ca="1" si="485">Q698+Q699</f>
        <v>0</v>
      </c>
      <c r="R697" s="46">
        <f t="shared" ca="1" si="485"/>
        <v>0</v>
      </c>
      <c r="S697" s="46">
        <f t="shared" ca="1" si="485"/>
        <v>0</v>
      </c>
      <c r="T697" s="46">
        <f t="shared" ca="1" si="476"/>
        <v>0</v>
      </c>
      <c r="U697" s="46">
        <f t="shared" ca="1" si="477"/>
        <v>0</v>
      </c>
    </row>
    <row r="698" spans="1:21" ht="18.75" x14ac:dyDescent="0.25">
      <c r="A698" s="128"/>
      <c r="B698" s="159"/>
      <c r="C698" s="159"/>
      <c r="D698" s="40"/>
      <c r="E698" s="157" t="s">
        <v>20</v>
      </c>
      <c r="F698" s="40"/>
      <c r="G698" s="42"/>
      <c r="H698" s="160" t="s">
        <v>14</v>
      </c>
      <c r="I698" s="135"/>
      <c r="J698" s="135"/>
      <c r="K698" s="136"/>
      <c r="L698" s="48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8" s="48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8" s="48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8" s="48">
        <f t="shared" ca="1" si="473"/>
        <v>0</v>
      </c>
      <c r="P698" s="48">
        <f t="shared" ca="1" si="474"/>
        <v>0</v>
      </c>
      <c r="Q698" s="48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8" s="48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8" s="48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8" s="48">
        <f t="shared" ca="1" si="476"/>
        <v>0</v>
      </c>
      <c r="U698" s="48">
        <f t="shared" ca="1" si="477"/>
        <v>0</v>
      </c>
    </row>
    <row r="699" spans="1:21" ht="18.75" x14ac:dyDescent="0.25">
      <c r="A699" s="128"/>
      <c r="B699" s="159"/>
      <c r="C699" s="159"/>
      <c r="D699" s="40"/>
      <c r="E699" s="47" t="s">
        <v>21</v>
      </c>
      <c r="F699" s="40"/>
      <c r="G699" s="42"/>
      <c r="H699" s="137" t="s">
        <v>14</v>
      </c>
      <c r="I699" s="135"/>
      <c r="J699" s="135"/>
      <c r="K699" s="136"/>
      <c r="L699" s="46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9" s="46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9" s="46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9" s="46">
        <f t="shared" ca="1" si="473"/>
        <v>0</v>
      </c>
      <c r="P699" s="46">
        <f t="shared" ca="1" si="474"/>
        <v>0</v>
      </c>
      <c r="Q699" s="46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9" s="46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9" s="46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9" s="46">
        <f t="shared" ca="1" si="476"/>
        <v>0</v>
      </c>
      <c r="U699" s="46">
        <f t="shared" ca="1" si="477"/>
        <v>0</v>
      </c>
    </row>
    <row r="700" spans="1:21" ht="19.5" x14ac:dyDescent="0.3">
      <c r="A700" s="138"/>
      <c r="B700" s="139"/>
      <c r="C700" s="190" t="s">
        <v>18</v>
      </c>
      <c r="D700" s="140" t="s">
        <v>38</v>
      </c>
      <c r="E700" s="141"/>
      <c r="F700" s="141"/>
      <c r="G700" s="141"/>
      <c r="H700" s="191"/>
      <c r="I700" s="135"/>
      <c r="J700" s="135"/>
      <c r="K700" s="136"/>
      <c r="L700" s="45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1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1" s="153">
        <f t="shared" ref="K701:K711" ca="1" si="486">IF(I701&gt;0,J701*100/I701,0)</f>
        <v>0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24"/>
      <c r="B702" s="159"/>
      <c r="C702" s="159"/>
      <c r="D702" s="145"/>
      <c r="E702" s="450" t="s">
        <v>258</v>
      </c>
      <c r="F702" s="145"/>
      <c r="G702" s="143"/>
      <c r="H702" s="131" t="s">
        <v>35</v>
      </c>
      <c r="I702" s="147">
        <f t="shared" ref="I702:J702" ca="1" si="487">I704+I706</f>
        <v>113</v>
      </c>
      <c r="J702" s="147">
        <f t="shared" ca="1" si="487"/>
        <v>0</v>
      </c>
      <c r="K702" s="132">
        <f t="shared" ca="1" si="486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86"/>
        <v>0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4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0)</f>
        <v>0</v>
      </c>
      <c r="K704" s="46">
        <f t="shared" ca="1" si="486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0)</f>
        <v>0</v>
      </c>
      <c r="K705" s="46">
        <f t="shared" si="486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6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6" s="153">
        <f t="shared" ca="1" si="486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7" s="46">
        <f t="shared" si="486"/>
        <v>0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8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0)</f>
        <v>0</v>
      </c>
      <c r="K708" s="46">
        <f t="shared" ca="1" si="486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45"/>
      <c r="E709" s="451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0)</f>
        <v>0</v>
      </c>
      <c r="K709" s="46">
        <f t="shared" si="486"/>
        <v>0</v>
      </c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40"/>
      <c r="E710" s="47" t="s">
        <v>263</v>
      </c>
      <c r="F710" s="40"/>
      <c r="G710" s="42"/>
      <c r="H710" s="188" t="s">
        <v>35</v>
      </c>
      <c r="I710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10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0)</f>
        <v>0</v>
      </c>
      <c r="K710" s="46">
        <f t="shared" ca="1" si="486"/>
        <v>0</v>
      </c>
      <c r="L710" s="4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40"/>
      <c r="E711" s="451" t="s">
        <v>264</v>
      </c>
      <c r="F711" s="40"/>
      <c r="G711" s="42"/>
      <c r="H711" s="188" t="s">
        <v>46</v>
      </c>
      <c r="I711" s="152">
        <v>0</v>
      </c>
      <c r="J711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1" s="46">
        <f t="shared" si="486"/>
        <v>0</v>
      </c>
      <c r="L711" s="45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426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426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489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132">
        <f t="shared" ref="L715:N715" ca="1" si="488">L716+L717</f>
        <v>0</v>
      </c>
      <c r="M715" s="132">
        <f t="shared" ca="1" si="488"/>
        <v>0</v>
      </c>
      <c r="N715" s="132">
        <f t="shared" ca="1" si="488"/>
        <v>0</v>
      </c>
      <c r="O715" s="132">
        <f t="shared" ref="O715:O723" ca="1" si="489">IF(L715&gt;0,N715*100/L715,0)</f>
        <v>0</v>
      </c>
      <c r="P715" s="132">
        <f t="shared" ref="P715:P723" ca="1" si="490">IF(M715&gt;0,N715*100/M715,0)</f>
        <v>0</v>
      </c>
      <c r="Q715" s="132">
        <f t="shared" ref="Q715:S715" ca="1" si="491">Q716+Q717</f>
        <v>0</v>
      </c>
      <c r="R715" s="132">
        <f t="shared" ca="1" si="491"/>
        <v>0</v>
      </c>
      <c r="S715" s="132">
        <f t="shared" ca="1" si="491"/>
        <v>0</v>
      </c>
      <c r="T715" s="132">
        <f t="shared" ref="T715:T723" ca="1" si="492">IF(Q715&gt;0,S715*100/Q715,0)</f>
        <v>0</v>
      </c>
      <c r="U715" s="132">
        <f t="shared" ref="U715:U723" ca="1" si="493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0"/>
      <c r="G716" s="42"/>
      <c r="H716" s="160" t="s">
        <v>14</v>
      </c>
      <c r="I716" s="44"/>
      <c r="J716" s="44"/>
      <c r="K716" s="45"/>
      <c r="L716" s="48">
        <f t="shared" ref="L716:N716" ca="1" si="494">L719+L722</f>
        <v>0</v>
      </c>
      <c r="M716" s="48">
        <f t="shared" ca="1" si="494"/>
        <v>0</v>
      </c>
      <c r="N716" s="48">
        <f t="shared" ca="1" si="494"/>
        <v>0</v>
      </c>
      <c r="O716" s="48">
        <f t="shared" ca="1" si="489"/>
        <v>0</v>
      </c>
      <c r="P716" s="48">
        <f t="shared" ca="1" si="490"/>
        <v>0</v>
      </c>
      <c r="Q716" s="48">
        <f t="shared" ref="Q716:S716" ca="1" si="495">Q719+Q722</f>
        <v>0</v>
      </c>
      <c r="R716" s="48">
        <f t="shared" ca="1" si="495"/>
        <v>0</v>
      </c>
      <c r="S716" s="48">
        <f t="shared" ca="1" si="495"/>
        <v>0</v>
      </c>
      <c r="T716" s="48">
        <f t="shared" ca="1" si="492"/>
        <v>0</v>
      </c>
      <c r="U716" s="48">
        <f t="shared" ca="1" si="493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0"/>
      <c r="G717" s="42"/>
      <c r="H717" s="160" t="s">
        <v>14</v>
      </c>
      <c r="I717" s="44"/>
      <c r="J717" s="44"/>
      <c r="K717" s="45"/>
      <c r="L717" s="46">
        <f t="shared" ref="L717:N717" ca="1" si="496">L720+L723</f>
        <v>0</v>
      </c>
      <c r="M717" s="46">
        <f t="shared" ca="1" si="496"/>
        <v>0</v>
      </c>
      <c r="N717" s="46">
        <f t="shared" ca="1" si="496"/>
        <v>0</v>
      </c>
      <c r="O717" s="46">
        <f t="shared" ca="1" si="489"/>
        <v>0</v>
      </c>
      <c r="P717" s="46">
        <f t="shared" ca="1" si="490"/>
        <v>0</v>
      </c>
      <c r="Q717" s="46">
        <f t="shared" ref="Q717:S717" ca="1" si="497">Q720+Q723</f>
        <v>0</v>
      </c>
      <c r="R717" s="46">
        <f t="shared" ca="1" si="497"/>
        <v>0</v>
      </c>
      <c r="S717" s="46">
        <f t="shared" ca="1" si="497"/>
        <v>0</v>
      </c>
      <c r="T717" s="46">
        <f t="shared" ca="1" si="492"/>
        <v>0</v>
      </c>
      <c r="U717" s="46">
        <f t="shared" ca="1" si="493"/>
        <v>0</v>
      </c>
    </row>
    <row r="718" spans="1:21" ht="19.5" hidden="1" x14ac:dyDescent="0.3">
      <c r="A718" s="128"/>
      <c r="B718" s="159"/>
      <c r="C718" s="159"/>
      <c r="D718" s="399" t="s">
        <v>22</v>
      </c>
      <c r="E718" s="40"/>
      <c r="F718" s="40"/>
      <c r="G718" s="42"/>
      <c r="H718" s="398" t="s">
        <v>14</v>
      </c>
      <c r="I718" s="135"/>
      <c r="J718" s="135"/>
      <c r="K718" s="136"/>
      <c r="L718" s="46">
        <f t="shared" ref="L718:N718" ca="1" si="498">L719+L720</f>
        <v>0</v>
      </c>
      <c r="M718" s="46">
        <f t="shared" ca="1" si="498"/>
        <v>0</v>
      </c>
      <c r="N718" s="46">
        <f t="shared" ca="1" si="498"/>
        <v>0</v>
      </c>
      <c r="O718" s="46">
        <f t="shared" ca="1" si="489"/>
        <v>0</v>
      </c>
      <c r="P718" s="46">
        <f t="shared" ca="1" si="490"/>
        <v>0</v>
      </c>
      <c r="Q718" s="46">
        <f t="shared" ref="Q718:S718" ca="1" si="499">Q719+Q720</f>
        <v>0</v>
      </c>
      <c r="R718" s="46">
        <f t="shared" ca="1" si="499"/>
        <v>0</v>
      </c>
      <c r="S718" s="46">
        <f t="shared" ca="1" si="499"/>
        <v>0</v>
      </c>
      <c r="T718" s="46">
        <f t="shared" ca="1" si="492"/>
        <v>0</v>
      </c>
      <c r="U718" s="46">
        <f t="shared" ca="1" si="493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0"/>
      <c r="G719" s="42"/>
      <c r="H719" s="160" t="s">
        <v>14</v>
      </c>
      <c r="I719" s="44"/>
      <c r="J719" s="44"/>
      <c r="K719" s="45"/>
      <c r="L719" s="48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9" s="48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9" s="48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9" s="48">
        <f t="shared" ca="1" si="489"/>
        <v>0</v>
      </c>
      <c r="P719" s="48">
        <f t="shared" ca="1" si="490"/>
        <v>0</v>
      </c>
      <c r="Q719" s="48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9" s="48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9" s="48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9" s="48">
        <f t="shared" ca="1" si="492"/>
        <v>0</v>
      </c>
      <c r="U719" s="48">
        <f t="shared" ca="1" si="493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0"/>
      <c r="G720" s="42"/>
      <c r="H720" s="160" t="s">
        <v>14</v>
      </c>
      <c r="I720" s="44"/>
      <c r="J720" s="44"/>
      <c r="K720" s="45"/>
      <c r="L720" s="46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20" s="46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20" s="46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20" s="46">
        <f t="shared" ca="1" si="489"/>
        <v>0</v>
      </c>
      <c r="P720" s="46">
        <f t="shared" ca="1" si="490"/>
        <v>0</v>
      </c>
      <c r="Q720" s="46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20" s="46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20" s="46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20" s="46">
        <f t="shared" ca="1" si="492"/>
        <v>0</v>
      </c>
      <c r="U720" s="46">
        <f t="shared" ca="1" si="493"/>
        <v>0</v>
      </c>
    </row>
    <row r="721" spans="1:21" ht="19.5" hidden="1" x14ac:dyDescent="0.3">
      <c r="A721" s="128"/>
      <c r="B721" s="159"/>
      <c r="C721" s="159"/>
      <c r="D721" s="399" t="s">
        <v>23</v>
      </c>
      <c r="E721" s="40"/>
      <c r="F721" s="40"/>
      <c r="G721" s="42"/>
      <c r="H721" s="400" t="s">
        <v>14</v>
      </c>
      <c r="I721" s="135"/>
      <c r="J721" s="135"/>
      <c r="K721" s="136"/>
      <c r="L721" s="46">
        <f t="shared" ref="L721:N721" ca="1" si="500">L722+L723</f>
        <v>0</v>
      </c>
      <c r="M721" s="46">
        <f t="shared" ca="1" si="500"/>
        <v>0</v>
      </c>
      <c r="N721" s="46">
        <f t="shared" ca="1" si="500"/>
        <v>0</v>
      </c>
      <c r="O721" s="46">
        <f t="shared" ca="1" si="489"/>
        <v>0</v>
      </c>
      <c r="P721" s="46">
        <f t="shared" ca="1" si="490"/>
        <v>0</v>
      </c>
      <c r="Q721" s="46">
        <f t="shared" ref="Q721:S721" ca="1" si="501">Q722+Q723</f>
        <v>0</v>
      </c>
      <c r="R721" s="46">
        <f t="shared" ca="1" si="501"/>
        <v>0</v>
      </c>
      <c r="S721" s="46">
        <f t="shared" ca="1" si="501"/>
        <v>0</v>
      </c>
      <c r="T721" s="46">
        <f t="shared" ca="1" si="492"/>
        <v>0</v>
      </c>
      <c r="U721" s="46">
        <f t="shared" ca="1" si="493"/>
        <v>0</v>
      </c>
    </row>
    <row r="722" spans="1:21" ht="18.75" hidden="1" x14ac:dyDescent="0.25">
      <c r="A722" s="128"/>
      <c r="B722" s="159"/>
      <c r="C722" s="159"/>
      <c r="D722" s="40"/>
      <c r="E722" s="157" t="s">
        <v>20</v>
      </c>
      <c r="F722" s="40"/>
      <c r="G722" s="42"/>
      <c r="H722" s="160" t="s">
        <v>14</v>
      </c>
      <c r="I722" s="135"/>
      <c r="J722" s="135"/>
      <c r="K722" s="136"/>
      <c r="L722" s="48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2" s="48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2" s="48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2" s="48">
        <f t="shared" ca="1" si="489"/>
        <v>0</v>
      </c>
      <c r="P722" s="48">
        <f t="shared" ca="1" si="490"/>
        <v>0</v>
      </c>
      <c r="Q722" s="48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2" s="48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2" s="48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2" s="48">
        <f t="shared" ca="1" si="492"/>
        <v>0</v>
      </c>
      <c r="U722" s="48">
        <f t="shared" ca="1" si="493"/>
        <v>0</v>
      </c>
    </row>
    <row r="723" spans="1:21" ht="18.75" hidden="1" x14ac:dyDescent="0.25">
      <c r="A723" s="128"/>
      <c r="B723" s="159"/>
      <c r="C723" s="159"/>
      <c r="D723" s="40"/>
      <c r="E723" s="157" t="s">
        <v>21</v>
      </c>
      <c r="F723" s="40"/>
      <c r="G723" s="42"/>
      <c r="H723" s="401" t="s">
        <v>14</v>
      </c>
      <c r="I723" s="135"/>
      <c r="J723" s="135"/>
      <c r="K723" s="136"/>
      <c r="L723" s="46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3" s="46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3" s="46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3" s="46">
        <f t="shared" ca="1" si="489"/>
        <v>0</v>
      </c>
      <c r="P723" s="46">
        <f t="shared" ca="1" si="490"/>
        <v>0</v>
      </c>
      <c r="Q723" s="46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3" s="46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3" s="46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3" s="46">
        <f t="shared" ca="1" si="492"/>
        <v>0</v>
      </c>
      <c r="U723" s="46">
        <f t="shared" ca="1" si="493"/>
        <v>0</v>
      </c>
    </row>
    <row r="724" spans="1:21" ht="19.5" hidden="1" x14ac:dyDescent="0.3">
      <c r="A724" s="138"/>
      <c r="B724" s="139"/>
      <c r="C724" s="455" t="s">
        <v>18</v>
      </c>
      <c r="D724" s="456" t="s">
        <v>38</v>
      </c>
      <c r="E724" s="141"/>
      <c r="F724" s="141"/>
      <c r="G724" s="142"/>
      <c r="H724" s="191"/>
      <c r="I724" s="135"/>
      <c r="J724" s="135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40"/>
      <c r="E725" s="157" t="s">
        <v>267</v>
      </c>
      <c r="F725" s="40"/>
      <c r="G725" s="42"/>
      <c r="H725" s="160" t="s">
        <v>46</v>
      </c>
      <c r="I725" s="340">
        <v>0</v>
      </c>
      <c r="J725" s="44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7" s="448">
        <f ca="1">J743+J747+J750</f>
        <v>116</v>
      </c>
      <c r="K727" s="449">
        <f t="shared" ref="K727:K728" ca="1" si="502">IF(I727&gt;0,J727*100/I727,0)</f>
        <v>40.845070422535208</v>
      </c>
      <c r="L727" s="426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8" s="448">
        <f ca="1">J753+J756</f>
        <v>0</v>
      </c>
      <c r="K728" s="449">
        <f t="shared" ca="1" si="502"/>
        <v>0</v>
      </c>
      <c r="L728" s="426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492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132">
        <f t="shared" ref="L729:N729" ca="1" si="503">L730+L731</f>
        <v>0</v>
      </c>
      <c r="M729" s="132">
        <f t="shared" ca="1" si="503"/>
        <v>0</v>
      </c>
      <c r="N729" s="132">
        <f t="shared" ca="1" si="503"/>
        <v>0</v>
      </c>
      <c r="O729" s="132">
        <f t="shared" ref="O729:O737" ca="1" si="504">IF(L729&gt;0,N729*100/L729,0)</f>
        <v>0</v>
      </c>
      <c r="P729" s="132">
        <f t="shared" ref="P729:P737" ca="1" si="505">IF(M729&gt;0,N729*100/M729,0)</f>
        <v>0</v>
      </c>
      <c r="Q729" s="132">
        <f t="shared" ref="Q729:S729" ca="1" si="506">Q730+Q731</f>
        <v>2422324</v>
      </c>
      <c r="R729" s="132">
        <f t="shared" ca="1" si="506"/>
        <v>2479224</v>
      </c>
      <c r="S729" s="132">
        <f t="shared" ca="1" si="506"/>
        <v>248494.6</v>
      </c>
      <c r="T729" s="132">
        <f t="shared" ref="T729:T737" ca="1" si="507">IF(Q729&gt;0,S729*100/Q729,0)</f>
        <v>10.258520330063195</v>
      </c>
      <c r="U729" s="132">
        <f t="shared" ref="U729:U737" ca="1" si="508">IF(R729&gt;0,S729*100/R729,0)</f>
        <v>10.02307980238978</v>
      </c>
    </row>
    <row r="730" spans="1:21" ht="18.75" x14ac:dyDescent="0.25">
      <c r="A730" s="128"/>
      <c r="B730" s="159"/>
      <c r="C730" s="159"/>
      <c r="D730" s="145"/>
      <c r="E730" s="157" t="s">
        <v>158</v>
      </c>
      <c r="F730" s="40"/>
      <c r="G730" s="42"/>
      <c r="H730" s="160" t="s">
        <v>14</v>
      </c>
      <c r="I730" s="44"/>
      <c r="J730" s="44"/>
      <c r="K730" s="45"/>
      <c r="L730" s="48">
        <f t="shared" ref="L730:N730" ca="1" si="509">L733+L736</f>
        <v>0</v>
      </c>
      <c r="M730" s="48">
        <f t="shared" ca="1" si="509"/>
        <v>0</v>
      </c>
      <c r="N730" s="48">
        <f t="shared" ca="1" si="509"/>
        <v>0</v>
      </c>
      <c r="O730" s="48">
        <f t="shared" ca="1" si="504"/>
        <v>0</v>
      </c>
      <c r="P730" s="48">
        <f t="shared" ca="1" si="505"/>
        <v>0</v>
      </c>
      <c r="Q730" s="48">
        <f t="shared" ref="Q730:S730" ca="1" si="510">Q733+Q736</f>
        <v>0</v>
      </c>
      <c r="R730" s="48">
        <f t="shared" ca="1" si="510"/>
        <v>0</v>
      </c>
      <c r="S730" s="48">
        <f t="shared" ca="1" si="510"/>
        <v>0</v>
      </c>
      <c r="T730" s="48">
        <f t="shared" ca="1" si="507"/>
        <v>0</v>
      </c>
      <c r="U730" s="48">
        <f t="shared" ca="1" si="508"/>
        <v>0</v>
      </c>
    </row>
    <row r="731" spans="1:21" ht="18.75" x14ac:dyDescent="0.25">
      <c r="A731" s="128"/>
      <c r="B731" s="159"/>
      <c r="C731" s="159"/>
      <c r="D731" s="145"/>
      <c r="E731" s="47" t="s">
        <v>159</v>
      </c>
      <c r="F731" s="40"/>
      <c r="G731" s="42"/>
      <c r="H731" s="134" t="s">
        <v>14</v>
      </c>
      <c r="I731" s="44"/>
      <c r="J731" s="44"/>
      <c r="K731" s="45"/>
      <c r="L731" s="46">
        <f t="shared" ref="L731:N731" ca="1" si="511">L734+L737</f>
        <v>0</v>
      </c>
      <c r="M731" s="46">
        <f t="shared" ca="1" si="511"/>
        <v>0</v>
      </c>
      <c r="N731" s="46">
        <f t="shared" ca="1" si="511"/>
        <v>0</v>
      </c>
      <c r="O731" s="46">
        <f t="shared" ca="1" si="504"/>
        <v>0</v>
      </c>
      <c r="P731" s="46">
        <f t="shared" ca="1" si="505"/>
        <v>0</v>
      </c>
      <c r="Q731" s="46">
        <f t="shared" ref="Q731:S731" ca="1" si="512">Q734+Q737</f>
        <v>2422324</v>
      </c>
      <c r="R731" s="46">
        <f t="shared" ca="1" si="512"/>
        <v>2479224</v>
      </c>
      <c r="S731" s="46">
        <f t="shared" ca="1" si="512"/>
        <v>248494.6</v>
      </c>
      <c r="T731" s="46">
        <f t="shared" ca="1" si="507"/>
        <v>10.258520330063195</v>
      </c>
      <c r="U731" s="46">
        <f t="shared" ca="1" si="508"/>
        <v>10.02307980238978</v>
      </c>
    </row>
    <row r="732" spans="1:21" ht="18.75" x14ac:dyDescent="0.25">
      <c r="A732" s="128"/>
      <c r="B732" s="159"/>
      <c r="C732" s="159"/>
      <c r="D732" s="41" t="s">
        <v>22</v>
      </c>
      <c r="E732" s="40"/>
      <c r="F732" s="40"/>
      <c r="G732" s="42"/>
      <c r="H732" s="134" t="s">
        <v>14</v>
      </c>
      <c r="I732" s="135"/>
      <c r="J732" s="135"/>
      <c r="K732" s="136"/>
      <c r="L732" s="46">
        <f t="shared" ref="L732:N732" ca="1" si="513">L733+L734</f>
        <v>0</v>
      </c>
      <c r="M732" s="46">
        <f t="shared" ca="1" si="513"/>
        <v>0</v>
      </c>
      <c r="N732" s="46">
        <f t="shared" ca="1" si="513"/>
        <v>0</v>
      </c>
      <c r="O732" s="46">
        <f t="shared" ca="1" si="504"/>
        <v>0</v>
      </c>
      <c r="P732" s="46">
        <f t="shared" ca="1" si="505"/>
        <v>0</v>
      </c>
      <c r="Q732" s="46">
        <f t="shared" ref="Q732:S732" ca="1" si="514">Q733+Q734</f>
        <v>2422324</v>
      </c>
      <c r="R732" s="46">
        <f t="shared" ca="1" si="514"/>
        <v>2479224</v>
      </c>
      <c r="S732" s="46">
        <f t="shared" ca="1" si="514"/>
        <v>248494.6</v>
      </c>
      <c r="T732" s="46">
        <f t="shared" ca="1" si="507"/>
        <v>10.258520330063195</v>
      </c>
      <c r="U732" s="46">
        <f t="shared" ca="1" si="508"/>
        <v>10.02307980238978</v>
      </c>
    </row>
    <row r="733" spans="1:21" ht="18.75" x14ac:dyDescent="0.25">
      <c r="A733" s="128"/>
      <c r="B733" s="159"/>
      <c r="C733" s="159"/>
      <c r="D733" s="145"/>
      <c r="E733" s="157" t="s">
        <v>158</v>
      </c>
      <c r="F733" s="40"/>
      <c r="G733" s="42"/>
      <c r="H733" s="160" t="s">
        <v>14</v>
      </c>
      <c r="I733" s="44"/>
      <c r="J733" s="44"/>
      <c r="K733" s="45"/>
      <c r="L733" s="48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3" s="48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3" s="48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3" s="48">
        <f t="shared" ca="1" si="504"/>
        <v>0</v>
      </c>
      <c r="P733" s="48">
        <f t="shared" ca="1" si="505"/>
        <v>0</v>
      </c>
      <c r="Q733" s="48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3" s="48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3" s="48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3" s="48">
        <f t="shared" ca="1" si="507"/>
        <v>0</v>
      </c>
      <c r="U733" s="48">
        <f t="shared" ca="1" si="508"/>
        <v>0</v>
      </c>
    </row>
    <row r="734" spans="1:21" ht="18.75" x14ac:dyDescent="0.25">
      <c r="A734" s="128"/>
      <c r="B734" s="159"/>
      <c r="C734" s="159"/>
      <c r="D734" s="145"/>
      <c r="E734" s="47" t="s">
        <v>159</v>
      </c>
      <c r="F734" s="40"/>
      <c r="G734" s="42"/>
      <c r="H734" s="134" t="s">
        <v>14</v>
      </c>
      <c r="I734" s="44"/>
      <c r="J734" s="44"/>
      <c r="K734" s="45"/>
      <c r="L734" s="46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4" s="46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4" s="46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4" s="46">
        <f t="shared" ca="1" si="504"/>
        <v>0</v>
      </c>
      <c r="P734" s="46">
        <f t="shared" ca="1" si="505"/>
        <v>0</v>
      </c>
      <c r="Q734" s="46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4" s="46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4" s="46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248494.6)</f>
        <v>248494.6</v>
      </c>
      <c r="T734" s="46">
        <f t="shared" ca="1" si="507"/>
        <v>10.258520330063195</v>
      </c>
      <c r="U734" s="46">
        <f t="shared" ca="1" si="508"/>
        <v>10.02307980238978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46">
        <f t="shared" ref="L735:N735" ca="1" si="515">L736+L737</f>
        <v>0</v>
      </c>
      <c r="M735" s="46">
        <f t="shared" ca="1" si="515"/>
        <v>0</v>
      </c>
      <c r="N735" s="46">
        <f t="shared" ca="1" si="515"/>
        <v>0</v>
      </c>
      <c r="O735" s="46">
        <f t="shared" ca="1" si="504"/>
        <v>0</v>
      </c>
      <c r="P735" s="46">
        <f t="shared" ca="1" si="505"/>
        <v>0</v>
      </c>
      <c r="Q735" s="46">
        <f t="shared" ref="Q735:S735" ca="1" si="516">Q736+Q737</f>
        <v>0</v>
      </c>
      <c r="R735" s="46">
        <f t="shared" ca="1" si="516"/>
        <v>0</v>
      </c>
      <c r="S735" s="46">
        <f t="shared" ca="1" si="516"/>
        <v>0</v>
      </c>
      <c r="T735" s="46">
        <f t="shared" ca="1" si="507"/>
        <v>0</v>
      </c>
      <c r="U735" s="46">
        <f t="shared" ca="1" si="508"/>
        <v>0</v>
      </c>
    </row>
    <row r="736" spans="1:21" ht="18.75" x14ac:dyDescent="0.25">
      <c r="A736" s="128"/>
      <c r="B736" s="159"/>
      <c r="C736" s="159"/>
      <c r="D736" s="159"/>
      <c r="E736" s="339" t="s">
        <v>20</v>
      </c>
      <c r="F736" s="159"/>
      <c r="G736" s="42"/>
      <c r="H736" s="160" t="s">
        <v>14</v>
      </c>
      <c r="I736" s="135"/>
      <c r="J736" s="135"/>
      <c r="K736" s="136"/>
      <c r="L736" s="48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6" s="48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6" s="48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6" s="48">
        <f t="shared" ca="1" si="504"/>
        <v>0</v>
      </c>
      <c r="P736" s="48">
        <f t="shared" ca="1" si="505"/>
        <v>0</v>
      </c>
      <c r="Q736" s="48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6" s="48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6" s="48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6" s="48">
        <f t="shared" ca="1" si="507"/>
        <v>0</v>
      </c>
      <c r="U736" s="48">
        <f t="shared" ca="1" si="508"/>
        <v>0</v>
      </c>
    </row>
    <row r="737" spans="1:21" ht="18.75" x14ac:dyDescent="0.25">
      <c r="A737" s="128"/>
      <c r="B737" s="159"/>
      <c r="C737" s="159"/>
      <c r="D737" s="159"/>
      <c r="E737" s="225" t="s">
        <v>21</v>
      </c>
      <c r="F737" s="159"/>
      <c r="G737" s="42"/>
      <c r="H737" s="137" t="s">
        <v>14</v>
      </c>
      <c r="I737" s="135"/>
      <c r="J737" s="135"/>
      <c r="K737" s="136"/>
      <c r="L737" s="46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7" s="46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7" s="46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7" s="46">
        <f t="shared" ca="1" si="504"/>
        <v>0</v>
      </c>
      <c r="P737" s="46">
        <f t="shared" ca="1" si="505"/>
        <v>0</v>
      </c>
      <c r="Q737" s="46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7" s="46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7" s="46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7" s="46">
        <f t="shared" ca="1" si="507"/>
        <v>0</v>
      </c>
      <c r="U737" s="46">
        <f t="shared" ca="1" si="508"/>
        <v>0</v>
      </c>
    </row>
    <row r="738" spans="1:21" ht="19.5" x14ac:dyDescent="0.3">
      <c r="A738" s="138"/>
      <c r="B738" s="139"/>
      <c r="C738" s="190" t="s">
        <v>18</v>
      </c>
      <c r="D738" s="338" t="s">
        <v>38</v>
      </c>
      <c r="E738" s="219"/>
      <c r="F738" s="141"/>
      <c r="G738" s="142"/>
      <c r="H738" s="191"/>
      <c r="I738" s="44"/>
      <c r="J738" s="44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36" t="s">
        <v>271</v>
      </c>
      <c r="G741" s="143"/>
      <c r="H741" s="133" t="s">
        <v>46</v>
      </c>
      <c r="I741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1" s="168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895)</f>
        <v>895</v>
      </c>
      <c r="K741" s="46">
        <f ca="1">IF(I741&gt;0,J741*100/I741,0)</f>
        <v>41.435185185185183</v>
      </c>
      <c r="L741" s="4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36" t="s">
        <v>272</v>
      </c>
      <c r="G742" s="143"/>
      <c r="H742" s="133" t="s">
        <v>35</v>
      </c>
      <c r="I742" s="44"/>
      <c r="J742" s="168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64)</f>
        <v>64</v>
      </c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139"/>
      <c r="F743" s="436" t="s">
        <v>273</v>
      </c>
      <c r="G743" s="143"/>
      <c r="H743" s="133" t="s">
        <v>35</v>
      </c>
      <c r="I743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3" s="168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85)</f>
        <v>85</v>
      </c>
      <c r="K743" s="46">
        <f ca="1">IF(I743&gt;0,J743*100/I743,0)</f>
        <v>39.351851851851855</v>
      </c>
      <c r="L743" s="4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436" t="s">
        <v>274</v>
      </c>
      <c r="F744" s="139"/>
      <c r="G744" s="143"/>
      <c r="H744" s="193"/>
      <c r="I744" s="44"/>
      <c r="J744" s="44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36" t="s">
        <v>271</v>
      </c>
      <c r="G745" s="143"/>
      <c r="H745" s="133" t="s">
        <v>46</v>
      </c>
      <c r="I745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5" s="168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215)</f>
        <v>215</v>
      </c>
      <c r="K745" s="46">
        <f ca="1">IF(I745&gt;0,J745*100/I745,0)</f>
        <v>39.814814814814817</v>
      </c>
      <c r="L745" s="45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36" t="s">
        <v>275</v>
      </c>
      <c r="G746" s="143"/>
      <c r="H746" s="133" t="s">
        <v>35</v>
      </c>
      <c r="I746" s="44"/>
      <c r="J746" s="168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16)</f>
        <v>16</v>
      </c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139"/>
      <c r="F747" s="436" t="s">
        <v>276</v>
      </c>
      <c r="G747" s="143"/>
      <c r="H747" s="133" t="s">
        <v>35</v>
      </c>
      <c r="I747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7" s="168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22)</f>
        <v>22</v>
      </c>
      <c r="K747" s="46">
        <f ca="1">IF(I747&gt;0,J747*100/I747,0)</f>
        <v>40.74074074074074</v>
      </c>
      <c r="L747" s="45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436" t="s">
        <v>277</v>
      </c>
      <c r="F748" s="145"/>
      <c r="G748" s="143"/>
      <c r="H748" s="193"/>
      <c r="I748" s="44"/>
      <c r="J748" s="44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36" t="s">
        <v>278</v>
      </c>
      <c r="G749" s="143"/>
      <c r="H749" s="133" t="s">
        <v>35</v>
      </c>
      <c r="I749" s="44"/>
      <c r="J749" s="168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0)</f>
        <v>0</v>
      </c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8.75" x14ac:dyDescent="0.25">
      <c r="A750" s="138"/>
      <c r="B750" s="139"/>
      <c r="C750" s="139"/>
      <c r="D750" s="139"/>
      <c r="E750" s="139"/>
      <c r="F750" s="436" t="s">
        <v>279</v>
      </c>
      <c r="G750" s="143"/>
      <c r="H750" s="133" t="s">
        <v>35</v>
      </c>
      <c r="I750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50" s="168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9)</f>
        <v>9</v>
      </c>
      <c r="K750" s="46">
        <f ca="1">IF(I750&gt;0,J750*100/I750,0)</f>
        <v>64.285714285714292</v>
      </c>
      <c r="L750" s="45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9.5" x14ac:dyDescent="0.3">
      <c r="A751" s="138"/>
      <c r="B751" s="139"/>
      <c r="C751" s="139"/>
      <c r="D751" s="461" t="s">
        <v>50</v>
      </c>
      <c r="E751" s="139"/>
      <c r="F751" s="145"/>
      <c r="G751" s="143"/>
      <c r="H751" s="193"/>
      <c r="I751" s="44"/>
      <c r="J751" s="44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436" t="s">
        <v>270</v>
      </c>
      <c r="F752" s="145"/>
      <c r="G752" s="143"/>
      <c r="H752" s="193"/>
      <c r="I752" s="44"/>
      <c r="J752" s="44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67" t="s">
        <v>280</v>
      </c>
      <c r="G753" s="143"/>
      <c r="H753" s="133" t="s">
        <v>46</v>
      </c>
      <c r="I753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3" s="168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0)</f>
        <v>0</v>
      </c>
      <c r="K753" s="46">
        <f ca="1">IF(I753&gt;0,J753*100/I753,0)</f>
        <v>0</v>
      </c>
      <c r="L753" s="45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139"/>
      <c r="F754" s="167" t="s">
        <v>281</v>
      </c>
      <c r="G754" s="143"/>
      <c r="H754" s="133" t="s">
        <v>46</v>
      </c>
      <c r="I754" s="44"/>
      <c r="J754" s="168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0)</f>
        <v>0</v>
      </c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436" t="s">
        <v>274</v>
      </c>
      <c r="F755" s="145"/>
      <c r="G755" s="143"/>
      <c r="H755" s="193"/>
      <c r="I755" s="44"/>
      <c r="J755" s="44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67" t="s">
        <v>282</v>
      </c>
      <c r="G756" s="143"/>
      <c r="H756" s="133" t="s">
        <v>46</v>
      </c>
      <c r="I756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6" s="168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0)</f>
        <v>0</v>
      </c>
      <c r="K756" s="46">
        <f ca="1">IF(I756&gt;0,J756*100/I756,0)</f>
        <v>0</v>
      </c>
      <c r="L756" s="45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138"/>
      <c r="B757" s="139"/>
      <c r="C757" s="139"/>
      <c r="D757" s="139"/>
      <c r="E757" s="145"/>
      <c r="F757" s="167" t="s">
        <v>283</v>
      </c>
      <c r="G757" s="143"/>
      <c r="H757" s="133" t="s">
        <v>46</v>
      </c>
      <c r="I757" s="44"/>
      <c r="J757" s="168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0)</f>
        <v>0</v>
      </c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517">I773</f>
        <v>240</v>
      </c>
      <c r="J759" s="448">
        <f t="shared" ca="1" si="517"/>
        <v>55</v>
      </c>
      <c r="K759" s="449">
        <f t="shared" ref="K759:K760" ca="1" si="518">IF(I759&gt;0,J759*100/I759,0)</f>
        <v>22.916666666666668</v>
      </c>
      <c r="L759" s="426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519">I775</f>
        <v>625</v>
      </c>
      <c r="J760" s="448">
        <f t="shared" ca="1" si="519"/>
        <v>90</v>
      </c>
      <c r="K760" s="449">
        <f t="shared" ca="1" si="518"/>
        <v>14.4</v>
      </c>
      <c r="L760" s="426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492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132">
        <f t="shared" ref="L761:N761" ca="1" si="520">L762+L763</f>
        <v>0</v>
      </c>
      <c r="M761" s="132">
        <f t="shared" ca="1" si="520"/>
        <v>0</v>
      </c>
      <c r="N761" s="132">
        <f t="shared" ca="1" si="520"/>
        <v>0</v>
      </c>
      <c r="O761" s="132">
        <f t="shared" ref="O761:O769" ca="1" si="521">IF(L761&gt;0,N761*100/L761,0)</f>
        <v>0</v>
      </c>
      <c r="P761" s="132">
        <f t="shared" ref="P761:P769" ca="1" si="522">IF(M761&gt;0,N761*100/M761,0)</f>
        <v>0</v>
      </c>
      <c r="Q761" s="132">
        <f t="shared" ref="Q761:S761" ca="1" si="523">Q762+Q763</f>
        <v>2015140</v>
      </c>
      <c r="R761" s="132">
        <f t="shared" ca="1" si="523"/>
        <v>2015140</v>
      </c>
      <c r="S761" s="132">
        <f t="shared" ca="1" si="523"/>
        <v>403839</v>
      </c>
      <c r="T761" s="132">
        <f t="shared" ref="T761:T769" ca="1" si="524">IF(Q761&gt;0,S761*100/Q761,0)</f>
        <v>20.040245342755341</v>
      </c>
      <c r="U761" s="132">
        <f t="shared" ref="U761:U769" ca="1" si="525">IF(R761&gt;0,S761*100/R761,0)</f>
        <v>20.040245342755341</v>
      </c>
    </row>
    <row r="762" spans="1:21" ht="18.75" x14ac:dyDescent="0.25">
      <c r="A762" s="128"/>
      <c r="B762" s="159"/>
      <c r="C762" s="159"/>
      <c r="D762" s="145"/>
      <c r="E762" s="157" t="s">
        <v>158</v>
      </c>
      <c r="F762" s="40"/>
      <c r="G762" s="42"/>
      <c r="H762" s="160" t="s">
        <v>14</v>
      </c>
      <c r="I762" s="44"/>
      <c r="J762" s="44"/>
      <c r="K762" s="45"/>
      <c r="L762" s="48">
        <f t="shared" ref="L762:N762" ca="1" si="526">L765+L768</f>
        <v>0</v>
      </c>
      <c r="M762" s="48">
        <f t="shared" ca="1" si="526"/>
        <v>0</v>
      </c>
      <c r="N762" s="48">
        <f t="shared" ca="1" si="526"/>
        <v>0</v>
      </c>
      <c r="O762" s="48">
        <f t="shared" ca="1" si="521"/>
        <v>0</v>
      </c>
      <c r="P762" s="48">
        <f t="shared" ca="1" si="522"/>
        <v>0</v>
      </c>
      <c r="Q762" s="48">
        <f t="shared" ref="Q762:S762" ca="1" si="527">Q765+Q768</f>
        <v>0</v>
      </c>
      <c r="R762" s="48">
        <f t="shared" ca="1" si="527"/>
        <v>0</v>
      </c>
      <c r="S762" s="48">
        <f t="shared" ca="1" si="527"/>
        <v>0</v>
      </c>
      <c r="T762" s="48">
        <f t="shared" ca="1" si="524"/>
        <v>0</v>
      </c>
      <c r="U762" s="48">
        <f t="shared" ca="1" si="525"/>
        <v>0</v>
      </c>
    </row>
    <row r="763" spans="1:21" ht="18.75" x14ac:dyDescent="0.25">
      <c r="A763" s="128"/>
      <c r="B763" s="159"/>
      <c r="C763" s="187"/>
      <c r="D763" s="145"/>
      <c r="E763" s="47" t="s">
        <v>159</v>
      </c>
      <c r="F763" s="40"/>
      <c r="G763" s="42"/>
      <c r="H763" s="134" t="s">
        <v>14</v>
      </c>
      <c r="I763" s="44"/>
      <c r="J763" s="44"/>
      <c r="K763" s="45"/>
      <c r="L763" s="46">
        <f t="shared" ref="L763:N763" ca="1" si="528">L766+L769</f>
        <v>0</v>
      </c>
      <c r="M763" s="46">
        <f t="shared" ca="1" si="528"/>
        <v>0</v>
      </c>
      <c r="N763" s="46">
        <f t="shared" ca="1" si="528"/>
        <v>0</v>
      </c>
      <c r="O763" s="46">
        <f t="shared" ca="1" si="521"/>
        <v>0</v>
      </c>
      <c r="P763" s="46">
        <f t="shared" ca="1" si="522"/>
        <v>0</v>
      </c>
      <c r="Q763" s="46">
        <f t="shared" ref="Q763:S763" ca="1" si="529">Q766+Q769</f>
        <v>2015140</v>
      </c>
      <c r="R763" s="46">
        <f t="shared" ca="1" si="529"/>
        <v>2015140</v>
      </c>
      <c r="S763" s="46">
        <f t="shared" ca="1" si="529"/>
        <v>403839</v>
      </c>
      <c r="T763" s="46">
        <f t="shared" ca="1" si="524"/>
        <v>20.040245342755341</v>
      </c>
      <c r="U763" s="46">
        <f t="shared" ca="1" si="525"/>
        <v>20.040245342755341</v>
      </c>
    </row>
    <row r="764" spans="1:21" ht="18.75" x14ac:dyDescent="0.25">
      <c r="A764" s="128"/>
      <c r="B764" s="159"/>
      <c r="C764" s="187"/>
      <c r="D764" s="41" t="s">
        <v>22</v>
      </c>
      <c r="E764" s="40"/>
      <c r="F764" s="40"/>
      <c r="G764" s="42"/>
      <c r="H764" s="134" t="s">
        <v>14</v>
      </c>
      <c r="I764" s="135"/>
      <c r="J764" s="135"/>
      <c r="K764" s="136"/>
      <c r="L764" s="46">
        <f t="shared" ref="L764:N764" ca="1" si="530">L765+L766</f>
        <v>0</v>
      </c>
      <c r="M764" s="46">
        <f t="shared" ca="1" si="530"/>
        <v>0</v>
      </c>
      <c r="N764" s="46">
        <f t="shared" ca="1" si="530"/>
        <v>0</v>
      </c>
      <c r="O764" s="46">
        <f t="shared" ca="1" si="521"/>
        <v>0</v>
      </c>
      <c r="P764" s="46">
        <f t="shared" ca="1" si="522"/>
        <v>0</v>
      </c>
      <c r="Q764" s="46">
        <f t="shared" ref="Q764:S764" ca="1" si="531">Q765+Q766</f>
        <v>2015140</v>
      </c>
      <c r="R764" s="46">
        <f t="shared" ca="1" si="531"/>
        <v>2015140</v>
      </c>
      <c r="S764" s="46">
        <f t="shared" ca="1" si="531"/>
        <v>403839</v>
      </c>
      <c r="T764" s="46">
        <f t="shared" ca="1" si="524"/>
        <v>20.040245342755341</v>
      </c>
      <c r="U764" s="46">
        <f t="shared" ca="1" si="525"/>
        <v>20.040245342755341</v>
      </c>
    </row>
    <row r="765" spans="1:21" ht="18.75" x14ac:dyDescent="0.25">
      <c r="A765" s="128"/>
      <c r="B765" s="159"/>
      <c r="C765" s="187"/>
      <c r="D765" s="145"/>
      <c r="E765" s="157" t="s">
        <v>158</v>
      </c>
      <c r="F765" s="40"/>
      <c r="G765" s="42"/>
      <c r="H765" s="160" t="s">
        <v>14</v>
      </c>
      <c r="I765" s="44"/>
      <c r="J765" s="44"/>
      <c r="K765" s="45"/>
      <c r="L765" s="48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5" s="48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5" s="48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5" s="48">
        <f t="shared" ca="1" si="521"/>
        <v>0</v>
      </c>
      <c r="P765" s="48">
        <f t="shared" ca="1" si="522"/>
        <v>0</v>
      </c>
      <c r="Q765" s="48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5" s="48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5" s="48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5" s="48">
        <f t="shared" ca="1" si="524"/>
        <v>0</v>
      </c>
      <c r="U765" s="48">
        <f t="shared" ca="1" si="525"/>
        <v>0</v>
      </c>
    </row>
    <row r="766" spans="1:21" ht="18.75" x14ac:dyDescent="0.25">
      <c r="A766" s="128"/>
      <c r="B766" s="159"/>
      <c r="C766" s="187"/>
      <c r="D766" s="145"/>
      <c r="E766" s="47" t="s">
        <v>159</v>
      </c>
      <c r="F766" s="40"/>
      <c r="G766" s="42"/>
      <c r="H766" s="134" t="s">
        <v>14</v>
      </c>
      <c r="I766" s="44"/>
      <c r="J766" s="44"/>
      <c r="K766" s="45"/>
      <c r="L766" s="46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6" s="46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6" s="46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6" s="46">
        <f t="shared" ca="1" si="521"/>
        <v>0</v>
      </c>
      <c r="P766" s="46">
        <f t="shared" ca="1" si="522"/>
        <v>0</v>
      </c>
      <c r="Q766" s="46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6" s="46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6" s="46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403839)</f>
        <v>403839</v>
      </c>
      <c r="T766" s="46">
        <f t="shared" ca="1" si="524"/>
        <v>20.040245342755341</v>
      </c>
      <c r="U766" s="46">
        <f t="shared" ca="1" si="525"/>
        <v>20.040245342755341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40"/>
      <c r="G767" s="42"/>
      <c r="H767" s="137" t="s">
        <v>14</v>
      </c>
      <c r="I767" s="135"/>
      <c r="J767" s="135"/>
      <c r="K767" s="136"/>
      <c r="L767" s="46">
        <f t="shared" ref="L767:N767" ca="1" si="532">L768+L769</f>
        <v>0</v>
      </c>
      <c r="M767" s="46">
        <f t="shared" ca="1" si="532"/>
        <v>0</v>
      </c>
      <c r="N767" s="46">
        <f t="shared" ca="1" si="532"/>
        <v>0</v>
      </c>
      <c r="O767" s="46">
        <f t="shared" ca="1" si="521"/>
        <v>0</v>
      </c>
      <c r="P767" s="46">
        <f t="shared" ca="1" si="522"/>
        <v>0</v>
      </c>
      <c r="Q767" s="46">
        <f t="shared" ref="Q767:S767" ca="1" si="533">Q768+Q769</f>
        <v>0</v>
      </c>
      <c r="R767" s="46">
        <f t="shared" ca="1" si="533"/>
        <v>0</v>
      </c>
      <c r="S767" s="46">
        <f t="shared" ca="1" si="533"/>
        <v>0</v>
      </c>
      <c r="T767" s="46">
        <f t="shared" ca="1" si="524"/>
        <v>0</v>
      </c>
      <c r="U767" s="46">
        <f t="shared" ca="1" si="525"/>
        <v>0</v>
      </c>
    </row>
    <row r="768" spans="1:21" ht="18.75" x14ac:dyDescent="0.25">
      <c r="A768" s="128"/>
      <c r="B768" s="159"/>
      <c r="C768" s="159"/>
      <c r="D768" s="159"/>
      <c r="E768" s="339" t="s">
        <v>20</v>
      </c>
      <c r="F768" s="40"/>
      <c r="G768" s="42"/>
      <c r="H768" s="160" t="s">
        <v>14</v>
      </c>
      <c r="I768" s="135"/>
      <c r="J768" s="135"/>
      <c r="K768" s="136"/>
      <c r="L768" s="48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8" s="48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8" s="48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8" s="48">
        <f t="shared" ca="1" si="521"/>
        <v>0</v>
      </c>
      <c r="P768" s="48">
        <f t="shared" ca="1" si="522"/>
        <v>0</v>
      </c>
      <c r="Q768" s="48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8" s="48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8" s="48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8" s="48">
        <f t="shared" ca="1" si="524"/>
        <v>0</v>
      </c>
      <c r="U768" s="48">
        <f t="shared" ca="1" si="525"/>
        <v>0</v>
      </c>
    </row>
    <row r="769" spans="1:21" ht="18.75" x14ac:dyDescent="0.25">
      <c r="A769" s="128"/>
      <c r="B769" s="159"/>
      <c r="C769" s="159"/>
      <c r="D769" s="159"/>
      <c r="E769" s="225" t="s">
        <v>21</v>
      </c>
      <c r="F769" s="40"/>
      <c r="G769" s="42"/>
      <c r="H769" s="137" t="s">
        <v>14</v>
      </c>
      <c r="I769" s="135"/>
      <c r="J769" s="135"/>
      <c r="K769" s="136"/>
      <c r="L769" s="46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9" s="46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9" s="46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9" s="46">
        <f t="shared" ca="1" si="521"/>
        <v>0</v>
      </c>
      <c r="P769" s="46">
        <f t="shared" ca="1" si="522"/>
        <v>0</v>
      </c>
      <c r="Q769" s="46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9" s="46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9" s="46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9" s="46">
        <f t="shared" ca="1" si="524"/>
        <v>0</v>
      </c>
      <c r="U769" s="46">
        <f t="shared" ca="1" si="525"/>
        <v>0</v>
      </c>
    </row>
    <row r="770" spans="1:21" ht="19.5" x14ac:dyDescent="0.3">
      <c r="A770" s="138"/>
      <c r="B770" s="139"/>
      <c r="C770" s="464" t="s">
        <v>18</v>
      </c>
      <c r="D770" s="435" t="s">
        <v>38</v>
      </c>
      <c r="E770" s="219"/>
      <c r="F770" s="141"/>
      <c r="G770" s="142"/>
      <c r="H770" s="191"/>
      <c r="I770" s="44"/>
      <c r="J770" s="44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403" t="s">
        <v>286</v>
      </c>
      <c r="E771" s="139"/>
      <c r="F771" s="145"/>
      <c r="G771" s="143"/>
      <c r="H771" s="401" t="s">
        <v>35</v>
      </c>
      <c r="I771" s="340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0)</f>
        <v>0</v>
      </c>
      <c r="J771" s="340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1" s="48">
        <f ca="1">IF(I771&gt;0,J771*100/I771,0)</f>
        <v>0</v>
      </c>
      <c r="L771" s="4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287</v>
      </c>
      <c r="E772" s="139"/>
      <c r="F772" s="145"/>
      <c r="G772" s="143"/>
      <c r="H772" s="191"/>
      <c r="I772" s="44"/>
      <c r="J772" s="44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45"/>
      <c r="G773" s="143"/>
      <c r="H773" s="137" t="s">
        <v>35</v>
      </c>
      <c r="I773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3" s="168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55)</f>
        <v>55</v>
      </c>
      <c r="K773" s="46">
        <f ca="1">IF(I773&gt;0,J773*100/I773,0)</f>
        <v>22.916666666666668</v>
      </c>
      <c r="L773" s="4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45"/>
      <c r="G774" s="143"/>
      <c r="H774" s="191"/>
      <c r="I774" s="44"/>
      <c r="J774" s="44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45"/>
      <c r="G775" s="1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5" s="168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90)</f>
        <v>90</v>
      </c>
      <c r="K775" s="46">
        <f ca="1">IF(I775&gt;0,J775*100/I775,0)</f>
        <v>14.4</v>
      </c>
      <c r="L775" s="4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45"/>
      <c r="F776" s="40"/>
      <c r="G776" s="42"/>
      <c r="H776" s="137" t="s">
        <v>46</v>
      </c>
      <c r="I776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6" s="168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20)</f>
        <v>20</v>
      </c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7" s="360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10)</f>
        <v>10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465" t="s">
        <v>291</v>
      </c>
      <c r="B778" s="466"/>
      <c r="C778" s="466"/>
      <c r="D778" s="466"/>
      <c r="E778" s="467"/>
      <c r="F778" s="467"/>
      <c r="G778" s="468"/>
      <c r="H778" s="469" t="str">
        <f ca="1">IFERROR(__xludf.DUMMYFUNCTION("IMPORTRANGE(""https://docs.google.com/spreadsheets/d/1gNPQPjxUj63ZZXIIIm2aX4x3w7PhAZpC9JuXdbpWwUQ/edit?usp=sharing"",""Sheet1!b2"")")," (ข้อมูล ณ 29 ก.พ. 67)")</f>
        <v xml:space="preserve"> 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224"/>
      <c r="B779" s="225" t="s">
        <v>292</v>
      </c>
      <c r="C779" s="159"/>
      <c r="D779" s="159"/>
      <c r="E779" s="40"/>
      <c r="F779" s="40"/>
      <c r="G779" s="42"/>
      <c r="H779" s="133" t="s">
        <v>14</v>
      </c>
      <c r="I779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16476519.87)</f>
        <v>16476519.869999999</v>
      </c>
      <c r="J779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4691378.85)</f>
        <v>4691378.8499999996</v>
      </c>
      <c r="K779" s="46">
        <f t="shared" ref="K779:K786" ca="1" si="534">IF(I779&gt;0,J779*100/I779,0)</f>
        <v>28.47311742415906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224"/>
      <c r="B780" s="159"/>
      <c r="C780" s="159"/>
      <c r="D780" s="159"/>
      <c r="E780" s="40"/>
      <c r="F780" s="40"/>
      <c r="G780" s="42"/>
      <c r="H780" s="133" t="s">
        <v>35</v>
      </c>
      <c r="I780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1260)</f>
        <v>1260</v>
      </c>
      <c r="J780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419)</f>
        <v>419</v>
      </c>
      <c r="K780" s="46">
        <f t="shared" ca="1" si="534"/>
        <v>33.253968253968253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224"/>
      <c r="B781" s="225" t="s">
        <v>293</v>
      </c>
      <c r="C781" s="159"/>
      <c r="D781" s="159"/>
      <c r="E781" s="40"/>
      <c r="F781" s="40"/>
      <c r="G781" s="42"/>
      <c r="H781" s="133" t="s">
        <v>14</v>
      </c>
      <c r="I781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1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1612158.19999999)</f>
        <v>1612158.1999999899</v>
      </c>
      <c r="K781" s="46">
        <f t="shared" ca="1" si="534"/>
        <v>9.7752033658368784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224"/>
      <c r="B782" s="159"/>
      <c r="C782" s="159"/>
      <c r="D782" s="159"/>
      <c r="E782" s="40"/>
      <c r="F782" s="40"/>
      <c r="G782" s="42"/>
      <c r="H782" s="133" t="s">
        <v>35</v>
      </c>
      <c r="I782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2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367)</f>
        <v>367</v>
      </c>
      <c r="K782" s="46">
        <f t="shared" ca="1" si="534"/>
        <v>49.327956989247312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224"/>
      <c r="B783" s="225" t="s">
        <v>294</v>
      </c>
      <c r="C783" s="159"/>
      <c r="D783" s="159"/>
      <c r="E783" s="40"/>
      <c r="F783" s="40"/>
      <c r="G783" s="42"/>
      <c r="H783" s="133" t="s">
        <v>14</v>
      </c>
      <c r="I783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413888.6)</f>
        <v>413888.6</v>
      </c>
      <c r="J783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93027.84)</f>
        <v>93027.839999999997</v>
      </c>
      <c r="K783" s="46">
        <f t="shared" ca="1" si="534"/>
        <v>22.476540788994914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224"/>
      <c r="B784" s="159"/>
      <c r="C784" s="159"/>
      <c r="D784" s="159"/>
      <c r="E784" s="40"/>
      <c r="F784" s="40"/>
      <c r="G784" s="42"/>
      <c r="H784" s="133" t="s">
        <v>35</v>
      </c>
      <c r="I784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628)</f>
        <v>628</v>
      </c>
      <c r="J784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131)</f>
        <v>131</v>
      </c>
      <c r="K784" s="46">
        <f t="shared" ca="1" si="534"/>
        <v>20.859872611464969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224"/>
      <c r="B785" s="225" t="s">
        <v>295</v>
      </c>
      <c r="C785" s="159"/>
      <c r="D785" s="159"/>
      <c r="E785" s="40"/>
      <c r="F785" s="40"/>
      <c r="G785" s="42"/>
      <c r="H785" s="133" t="s">
        <v>14</v>
      </c>
      <c r="I785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23182000)</f>
        <v>23182000</v>
      </c>
      <c r="J785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9559400)</f>
        <v>9559400</v>
      </c>
      <c r="K785" s="46">
        <f t="shared" ca="1" si="534"/>
        <v>41.236304028988009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355"/>
      <c r="B786" s="4"/>
      <c r="C786" s="4"/>
      <c r="D786" s="4"/>
      <c r="E786" s="2"/>
      <c r="F786" s="2"/>
      <c r="G786" s="52"/>
      <c r="H786" s="357" t="s">
        <v>35</v>
      </c>
      <c r="I786" s="204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801)</f>
        <v>801</v>
      </c>
      <c r="J786" s="204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202)</f>
        <v>202</v>
      </c>
      <c r="K786" s="110">
        <f t="shared" ca="1" si="534"/>
        <v>25.218476903870162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473"/>
      <c r="B787" s="473"/>
      <c r="C787" s="473"/>
      <c r="D787" s="473"/>
      <c r="E787" s="166"/>
      <c r="F787" s="166"/>
      <c r="G787" s="166"/>
      <c r="H787" s="473"/>
      <c r="I787" s="474"/>
      <c r="J787" s="474"/>
      <c r="K787" s="475"/>
      <c r="L787" s="475"/>
      <c r="M787" s="475"/>
      <c r="N787" s="475"/>
      <c r="O787" s="475"/>
      <c r="P787" s="475"/>
      <c r="Q787" s="475"/>
      <c r="R787" s="475"/>
      <c r="S787" s="475"/>
      <c r="T787" s="475"/>
      <c r="U787" s="475"/>
    </row>
    <row r="788" spans="1:21" ht="16.5" x14ac:dyDescent="0.25">
      <c r="A788" s="476" t="s">
        <v>296</v>
      </c>
      <c r="B788" s="473"/>
      <c r="C788" s="473"/>
      <c r="D788" s="473"/>
      <c r="E788" s="166"/>
      <c r="F788" s="166"/>
      <c r="G788" s="166"/>
      <c r="H788" s="473"/>
      <c r="I788" s="474"/>
      <c r="J788" s="474"/>
      <c r="K788" s="475"/>
      <c r="L788" s="475"/>
      <c r="M788" s="475"/>
      <c r="N788" s="475"/>
      <c r="O788" s="475"/>
      <c r="P788" s="475"/>
      <c r="Q788" s="475"/>
      <c r="R788" s="475"/>
      <c r="S788" s="475"/>
      <c r="T788" s="475"/>
      <c r="U788" s="475"/>
    </row>
    <row r="789" spans="1:21" ht="16.5" x14ac:dyDescent="0.25">
      <c r="A789" s="47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473"/>
      <c r="C789" s="473"/>
      <c r="D789" s="473"/>
      <c r="E789" s="166"/>
      <c r="F789" s="166"/>
      <c r="G789" s="166"/>
      <c r="H789" s="473"/>
      <c r="I789" s="474"/>
      <c r="J789" s="474"/>
      <c r="K789" s="475"/>
      <c r="L789" s="475"/>
      <c r="M789" s="475"/>
      <c r="N789" s="475"/>
      <c r="O789" s="475"/>
      <c r="P789" s="475"/>
      <c r="Q789" s="475"/>
      <c r="R789" s="475"/>
      <c r="S789" s="475"/>
      <c r="T789" s="475"/>
      <c r="U789" s="475"/>
    </row>
    <row r="790" spans="1:21" ht="16.5" x14ac:dyDescent="0.25">
      <c r="A790" s="47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473"/>
      <c r="C790" s="473"/>
      <c r="D790" s="473"/>
      <c r="E790" s="166"/>
      <c r="F790" s="166"/>
      <c r="G790" s="166"/>
      <c r="H790" s="473"/>
      <c r="I790" s="474"/>
      <c r="J790" s="474"/>
      <c r="K790" s="475"/>
      <c r="L790" s="475"/>
      <c r="M790" s="475"/>
      <c r="N790" s="475"/>
      <c r="O790" s="475"/>
      <c r="P790" s="475"/>
      <c r="Q790" s="475"/>
      <c r="R790" s="475"/>
      <c r="S790" s="475"/>
      <c r="T790" s="475"/>
      <c r="U790" s="475"/>
    </row>
  </sheetData>
  <mergeCells count="25">
    <mergeCell ref="D715:G715"/>
    <mergeCell ref="D729:G729"/>
    <mergeCell ref="D761:G761"/>
    <mergeCell ref="A6:G7"/>
    <mergeCell ref="A8:G8"/>
    <mergeCell ref="A18:G18"/>
    <mergeCell ref="A31:G31"/>
    <mergeCell ref="A57:G57"/>
    <mergeCell ref="B58:G58"/>
    <mergeCell ref="D414:G414"/>
    <mergeCell ref="D494:F494"/>
    <mergeCell ref="D600:G600"/>
    <mergeCell ref="D617:G617"/>
    <mergeCell ref="D643:G643"/>
    <mergeCell ref="D691:G691"/>
    <mergeCell ref="N6:P6"/>
    <mergeCell ref="Q6:R6"/>
    <mergeCell ref="L5:P5"/>
    <mergeCell ref="Q5:U5"/>
    <mergeCell ref="I6:K6"/>
    <mergeCell ref="L6:M6"/>
    <mergeCell ref="S6:U6"/>
    <mergeCell ref="A1:U1"/>
    <mergeCell ref="A2:U2"/>
    <mergeCell ref="A3:U3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6255E-A827-46CB-B56A-8998C5C74989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.5703125" bestFit="1" customWidth="1"/>
    <col min="17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1064345</v>
      </c>
      <c r="M19" s="34">
        <f t="shared" ca="1" si="0"/>
        <v>1096375</v>
      </c>
      <c r="N19" s="34">
        <f t="shared" ca="1" si="0"/>
        <v>678541.24</v>
      </c>
      <c r="O19" s="34">
        <f t="shared" ref="O19:O27" ca="1" si="1">IF(L19&gt;0,N19*100/L19,0)</f>
        <v>63.752001465690164</v>
      </c>
      <c r="P19" s="34">
        <f t="shared" ref="P19:P27" ca="1" si="2">IF(M19&gt;0,N19*100/M19,0)</f>
        <v>61.889521377265993</v>
      </c>
      <c r="Q19" s="34">
        <f t="shared" ref="Q19:S19" ca="1" si="3">Q20+Q21</f>
        <v>519907</v>
      </c>
      <c r="R19" s="34">
        <f t="shared" ca="1" si="3"/>
        <v>507407</v>
      </c>
      <c r="S19" s="34">
        <f t="shared" ca="1" si="3"/>
        <v>138430.65</v>
      </c>
      <c r="T19" s="34">
        <f t="shared" ref="T19:T27" ca="1" si="4">IF(Q19&gt;0,S19*100/Q19,0)</f>
        <v>26.626040811145071</v>
      </c>
      <c r="U19" s="34">
        <f t="shared" ref="U19:U27" ca="1" si="5">IF(R19&gt;0,S19*100/R19,0)</f>
        <v>27.281974824943291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1064345</v>
      </c>
      <c r="M21" s="38">
        <f t="shared" ca="1" si="6"/>
        <v>1096375</v>
      </c>
      <c r="N21" s="38">
        <f t="shared" ca="1" si="6"/>
        <v>678541.24</v>
      </c>
      <c r="O21" s="38">
        <f t="shared" ca="1" si="1"/>
        <v>63.752001465690164</v>
      </c>
      <c r="P21" s="38">
        <f t="shared" ca="1" si="2"/>
        <v>61.889521377265993</v>
      </c>
      <c r="Q21" s="38">
        <f t="shared" ca="1" si="7"/>
        <v>519907</v>
      </c>
      <c r="R21" s="38">
        <f t="shared" ca="1" si="7"/>
        <v>507407</v>
      </c>
      <c r="S21" s="38">
        <f t="shared" ca="1" si="7"/>
        <v>138430.65</v>
      </c>
      <c r="T21" s="38">
        <f t="shared" ca="1" si="4"/>
        <v>26.626040811145071</v>
      </c>
      <c r="U21" s="38">
        <f t="shared" ca="1" si="5"/>
        <v>27.281974824943291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1064345</v>
      </c>
      <c r="M22" s="46">
        <f t="shared" ca="1" si="8"/>
        <v>1096375</v>
      </c>
      <c r="N22" s="46">
        <f t="shared" ca="1" si="8"/>
        <v>678541.24</v>
      </c>
      <c r="O22" s="46">
        <f t="shared" ca="1" si="1"/>
        <v>63.752001465690164</v>
      </c>
      <c r="P22" s="46">
        <f t="shared" ca="1" si="2"/>
        <v>61.889521377265993</v>
      </c>
      <c r="Q22" s="46">
        <f t="shared" ref="Q22:S22" ca="1" si="9">Q23+Q24</f>
        <v>519907</v>
      </c>
      <c r="R22" s="46">
        <f t="shared" ca="1" si="9"/>
        <v>507407</v>
      </c>
      <c r="S22" s="46">
        <f t="shared" ca="1" si="9"/>
        <v>138430.65</v>
      </c>
      <c r="T22" s="46">
        <f t="shared" ca="1" si="4"/>
        <v>26.626040811145071</v>
      </c>
      <c r="U22" s="46">
        <f t="shared" ca="1" si="5"/>
        <v>27.281974824943291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1064345</v>
      </c>
      <c r="M24" s="46">
        <f t="shared" ca="1" si="10"/>
        <v>1096375</v>
      </c>
      <c r="N24" s="46">
        <f t="shared" ca="1" si="10"/>
        <v>678541.24</v>
      </c>
      <c r="O24" s="46">
        <f t="shared" ca="1" si="1"/>
        <v>63.752001465690164</v>
      </c>
      <c r="P24" s="46">
        <f t="shared" ca="1" si="2"/>
        <v>61.889521377265993</v>
      </c>
      <c r="Q24" s="46">
        <f t="shared" ca="1" si="11"/>
        <v>519907</v>
      </c>
      <c r="R24" s="46">
        <f t="shared" ca="1" si="11"/>
        <v>507407</v>
      </c>
      <c r="S24" s="46">
        <f t="shared" ca="1" si="11"/>
        <v>138430.65</v>
      </c>
      <c r="T24" s="46">
        <f t="shared" ca="1" si="4"/>
        <v>26.626040811145071</v>
      </c>
      <c r="U24" s="46">
        <f t="shared" ca="1" si="5"/>
        <v>27.281974824943291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1064345</v>
      </c>
      <c r="M41" s="525">
        <f t="shared" ca="1" si="16"/>
        <v>1096375</v>
      </c>
      <c r="N41" s="525">
        <f t="shared" ca="1" si="16"/>
        <v>678541.24</v>
      </c>
      <c r="O41" s="525">
        <f ca="1">IF(L41&gt;0,N41*100/L41,0)</f>
        <v>63.752001465690164</v>
      </c>
      <c r="P41" s="525">
        <f ca="1">IF(M41&gt;0,N41*100/M41,0)</f>
        <v>61.889521377265993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129800</v>
      </c>
      <c r="M45" s="78">
        <f t="shared" ca="1" si="17"/>
        <v>134360</v>
      </c>
      <c r="N45" s="78">
        <f t="shared" ca="1" si="17"/>
        <v>39060</v>
      </c>
      <c r="O45" s="78">
        <f t="shared" ref="O45:O53" ca="1" si="18">IF(L45&gt;0,N45*100/L45,0)</f>
        <v>30.092449922958398</v>
      </c>
      <c r="P45" s="78">
        <f t="shared" ref="P45:P53" ca="1" si="19">IF(M45&gt;0,N45*100/M45,0)</f>
        <v>29.071152128609704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129800</v>
      </c>
      <c r="M47" s="82">
        <f t="shared" ca="1" si="23"/>
        <v>134360</v>
      </c>
      <c r="N47" s="82">
        <f t="shared" ca="1" si="23"/>
        <v>39060</v>
      </c>
      <c r="O47" s="82">
        <f t="shared" ca="1" si="18"/>
        <v>30.092449922958398</v>
      </c>
      <c r="P47" s="82">
        <f t="shared" ca="1" si="19"/>
        <v>29.071152128609704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129800</v>
      </c>
      <c r="M48" s="46">
        <f t="shared" ca="1" si="25"/>
        <v>134360</v>
      </c>
      <c r="N48" s="46">
        <f t="shared" ca="1" si="25"/>
        <v>39060</v>
      </c>
      <c r="O48" s="46">
        <f t="shared" ca="1" si="18"/>
        <v>30.092449922958398</v>
      </c>
      <c r="P48" s="46">
        <f t="shared" ca="1" si="19"/>
        <v>29.071152128609704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IFERROR(__xludf.DUMMYFUNCTION("IMPORTRANGE(""https://docs.google.com/spreadsheets/d/1-uDff_7J0KD5mKrp0Vvzr7lt3OU09vwQwhkpOPPYv2Y/edit?usp=sharing"",""งบพรบ!P83"")"),129800)</f>
        <v>129800</v>
      </c>
      <c r="M50" s="46">
        <f ca="1">IFERROR(__xludf.DUMMYFUNCTION("IMPORTRANGE(""https://docs.google.com/spreadsheets/d/1-uDff_7J0KD5mKrp0Vvzr7lt3OU09vwQwhkpOPPYv2Y/edit?usp=sharing"",""งบพรบ!V83"")"),134360)</f>
        <v>134360</v>
      </c>
      <c r="N50" s="46">
        <f ca="1">IFERROR(__xludf.DUMMYFUNCTION("IMPORTRANGE(""https://docs.google.com/spreadsheets/d/1-uDff_7J0KD5mKrp0Vvzr7lt3OU09vwQwhkpOPPYv2Y/edit?usp=sharing"",""งบพรบ!Y83"")"),39060)</f>
        <v>39060</v>
      </c>
      <c r="O50" s="46">
        <f t="shared" ca="1" si="18"/>
        <v>30.092449922958398</v>
      </c>
      <c r="P50" s="46">
        <f t="shared" ca="1" si="19"/>
        <v>29.071152128609704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IFERROR(__xludf.DUMMYFUNCTION("IMPORTRANGE(""https://docs.google.com/spreadsheets/d/1-uDff_7J0KD5mKrp0Vvzr7lt3OU09vwQwhkpOPPYv2Y/edit?usp=sharing"",""งบพรบ!S83"")"),0)</f>
        <v>0</v>
      </c>
      <c r="M53" s="46">
        <f ca="1">IFERROR(__xludf.DUMMYFUNCTION("IMPORTRANGE(""https://docs.google.com/spreadsheets/d/1-uDff_7J0KD5mKrp0Vvzr7lt3OU09vwQwhkpOPPYv2Y/edit?usp=sharing"",""งบพรบ!W83"")"),0)</f>
        <v>0</v>
      </c>
      <c r="N53" s="46">
        <f ca="1">IFERROR(__xludf.DUMMYFUNCTION("IMPORTRANGE(""https://docs.google.com/spreadsheets/d/1-uDff_7J0KD5mKrp0Vvzr7lt3OU09vwQwhkpOPPYv2Y/edit?usp=sharing"",""งบพรบ!Z83"")"),0)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412000</v>
      </c>
      <c r="M60" s="105">
        <f t="shared" ca="1" si="29"/>
        <v>412000</v>
      </c>
      <c r="N60" s="105">
        <f t="shared" ca="1" si="29"/>
        <v>308273.24</v>
      </c>
      <c r="O60" s="105">
        <f t="shared" ref="O60:O68" ca="1" si="30">IF(L60&gt;0,N60*100/L60,0)</f>
        <v>74.823601941747569</v>
      </c>
      <c r="P60" s="105">
        <f t="shared" ref="P60:P68" ca="1" si="31">IF(M60&gt;0,N60*100/M60,0)</f>
        <v>74.823601941747569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412000</v>
      </c>
      <c r="M62" s="108">
        <f t="shared" ca="1" si="35"/>
        <v>412000</v>
      </c>
      <c r="N62" s="108">
        <f t="shared" ca="1" si="35"/>
        <v>308273.24</v>
      </c>
      <c r="O62" s="108">
        <f t="shared" ca="1" si="30"/>
        <v>74.823601941747569</v>
      </c>
      <c r="P62" s="108">
        <f t="shared" ca="1" si="31"/>
        <v>74.823601941747569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412000</v>
      </c>
      <c r="M63" s="46">
        <f t="shared" ca="1" si="37"/>
        <v>412000</v>
      </c>
      <c r="N63" s="46">
        <f t="shared" ca="1" si="37"/>
        <v>308273.24</v>
      </c>
      <c r="O63" s="46">
        <f t="shared" ca="1" si="30"/>
        <v>74.823601941747569</v>
      </c>
      <c r="P63" s="46">
        <f t="shared" ca="1" si="31"/>
        <v>74.823601941747569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IFERROR(__xludf.DUMMYFUNCTION("IMPORTRANGE(""https://docs.google.com/spreadsheets/d/1-uDff_7J0KD5mKrp0Vvzr7lt3OU09vwQwhkpOPPYv2Y/edit?usp=sharing"",""งบพรบ!AC83"")"),412000)</f>
        <v>412000</v>
      </c>
      <c r="M65" s="46">
        <f ca="1">IFERROR(__xludf.DUMMYFUNCTION("IMPORTRANGE(""https://docs.google.com/spreadsheets/d/1-uDff_7J0KD5mKrp0Vvzr7lt3OU09vwQwhkpOPPYv2Y/edit?usp=sharing"",""งบพรบ!AH83"")"),412000)</f>
        <v>412000</v>
      </c>
      <c r="N65" s="46">
        <f ca="1">IFERROR(__xludf.DUMMYFUNCTION("IMPORTRANGE(""https://docs.google.com/spreadsheets/d/1-uDff_7J0KD5mKrp0Vvzr7lt3OU09vwQwhkpOPPYv2Y/edit?usp=sharing"",""งบพรบ!AJ83"")"),308273.24)</f>
        <v>308273.24</v>
      </c>
      <c r="O65" s="46">
        <f t="shared" ca="1" si="30"/>
        <v>74.823601941747569</v>
      </c>
      <c r="P65" s="46">
        <f t="shared" ca="1" si="31"/>
        <v>74.823601941747569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IFERROR(__xludf.DUMMYFUNCTION("IMPORTRANGE(""https://docs.google.com/spreadsheets/d/1-uDff_7J0KD5mKrp0Vvzr7lt3OU09vwQwhkpOPPYv2Y/edit?usp=sharing"",""งบพรบ!AF83"")"),0)</f>
        <v>0</v>
      </c>
      <c r="M68" s="110">
        <f ca="1">IFERROR(__xludf.DUMMYFUNCTION("IMPORTRANGE(""https://docs.google.com/spreadsheets/d/1-uDff_7J0KD5mKrp0Vvzr7lt3OU09vwQwhkpOPPYv2Y/edit?usp=sharing"",""งบพรบ!AI83"")"),0)</f>
        <v>0</v>
      </c>
      <c r="N68" s="110">
        <f ca="1">IFERROR(__xludf.DUMMYFUNCTION("IMPORTRANGE(""https://docs.google.com/spreadsheets/d/1-uDff_7J0KD5mKrp0Vvzr7lt3OU09vwQwhkpOPPYv2Y/edit?usp=sharing"",""งบพรบ!AK83"")"),0)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IFERROR(__xludf.DUMMYFUNCTION("IMPORTRANGE(""https://docs.google.com/spreadsheets/d/1-uDff_7J0KD5mKrp0Vvzr7lt3OU09vwQwhkpOPPYv2Y/edit?usp=sharing"",""งบพรบ!AM83"")"),0)</f>
        <v>0</v>
      </c>
      <c r="M78" s="46">
        <f ca="1">IFERROR(__xludf.DUMMYFUNCTION("IMPORTRANGE(""https://docs.google.com/spreadsheets/d/1-uDff_7J0KD5mKrp0Vvzr7lt3OU09vwQwhkpOPPYv2Y/edit?usp=sharing"",""งบพรบ!AR83"")"),0)</f>
        <v>0</v>
      </c>
      <c r="N78" s="46">
        <f ca="1">IFERROR(__xludf.DUMMYFUNCTION("IMPORTRANGE(""https://docs.google.com/spreadsheets/d/1-uDff_7J0KD5mKrp0Vvzr7lt3OU09vwQwhkpOPPYv2Y/edit?usp=sharing"",""งบพรบ!AT83"")"),0)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IFERROR(__xludf.DUMMYFUNCTION("IMPORTRANGE(""https://docs.google.com/spreadsheets/d/1ItG2mGa2ceCfYo0BwxsXqNm01IGEUdYcSSLTEv9YCik/edit?usp=sharing"",""เบิกจ่ายกองทุน!AS83"")"),0)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IFERROR(__xludf.DUMMYFUNCTION("IMPORTRANGE(""https://docs.google.com/spreadsheets/d/1ItG2mGa2ceCfYo0BwxsXqNm01IGEUdYcSSLTEv9YCik/edit?usp=sharing"",""เบิกจ่ายกองทุน!AT83"")"),0)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IFERROR(__xludf.DUMMYFUNCTION("IMPORTRANGE(""https://docs.google.com/spreadsheets/d/1ItG2mGa2ceCfYo0BwxsXqNm01IGEUdYcSSLTEv9YCik/edit?usp=sharing"",""เบิกจ่ายกองทุน!AU83"")"),0)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IFERROR(__xludf.DUMMYFUNCTION("IMPORTRANGE(""https://docs.google.com/spreadsheets/d/1-uDff_7J0KD5mKrp0Vvzr7lt3OU09vwQwhkpOPPYv2Y/edit?usp=sharing"",""งบพรบ!AP83"")"),0)</f>
        <v>0</v>
      </c>
      <c r="M81" s="46">
        <f ca="1">IFERROR(__xludf.DUMMYFUNCTION("IMPORTRANGE(""https://docs.google.com/spreadsheets/d/1-uDff_7J0KD5mKrp0Vvzr7lt3OU09vwQwhkpOPPYv2Y/edit?usp=sharing"",""งบพรบ!AS83"")"),0)</f>
        <v>0</v>
      </c>
      <c r="N81" s="46">
        <f ca="1">IFERROR(__xludf.DUMMYFUNCTION("IMPORTRANGE(""https://docs.google.com/spreadsheets/d/1-uDff_7J0KD5mKrp0Vvzr7lt3OU09vwQwhkpOPPYv2Y/edit?usp=sharing"",""งบพรบ!AU83"")"),0)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IFERROR(__xludf.DUMMYFUNCTION("IMPORTRANGE(""https://docs.google.com/spreadsheets/d/1eHaY18a8A9IcSdp1K8H6x8fbOy06t2VsZHhMHf-1x7Y/edit?usp=sharing"",""แผน!H83"")"),0)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IFERROR(__xludf.DUMMYFUNCTION("IMPORTRANGE(""https://docs.google.com/spreadsheets/d/1eHaY18a8A9IcSdp1K8H6x8fbOy06t2VsZHhMHf-1x7Y/edit?usp=sharing"",""แผน!I83"")"),0)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IFERROR(__xludf.DUMMYFUNCTION("IMPORTRANGE(""https://docs.google.com/spreadsheets/d/1eHaY18a8A9IcSdp1K8H6x8fbOy06t2VsZHhMHf-1x7Y/edit?usp=sharing"",""แผน!F83"")"),0)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IFERROR(__xludf.DUMMYFUNCTION("IMPORTRANGE(""https://docs.google.com/spreadsheets/d/1eHaY18a8A9IcSdp1K8H6x8fbOy06t2VsZHhMHf-1x7Y/edit?usp=sharing"",""แผน!G83"")"),0)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IFERROR(__xludf.DUMMYFUNCTION("IMPORTRANGE(""https://docs.google.com/spreadsheets/d/1eHaY18a8A9IcSdp1K8H6x8fbOy06t2VsZHhMHf-1x7Y/edit?usp=sharing"",""แผน!D83"")"),0)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IFERROR(__xludf.DUMMYFUNCTION("IMPORTRANGE(""https://docs.google.com/spreadsheets/d/1eHaY18a8A9IcSdp1K8H6x8fbOy06t2VsZHhMHf-1x7Y/edit?usp=sharing"",""แผน!E83"")"),0)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IFERROR(__xludf.DUMMYFUNCTION("IMPORTRANGE(""https://docs.google.com/spreadsheets/d/1eHaY18a8A9IcSdp1K8H6x8fbOy06t2VsZHhMHf-1x7Y/edit?usp=sharing"",""แผน!J83"")"),0)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IFERROR(__xludf.DUMMYFUNCTION("IMPORTRANGE(""https://docs.google.com/spreadsheets/d/1-uDff_7J0KD5mKrp0Vvzr7lt3OU09vwQwhkpOPPYv2Y/edit?usp=sharing"",""งบพรบ!AW83"")"),0)</f>
        <v>0</v>
      </c>
      <c r="M100" s="46">
        <f ca="1">IFERROR(__xludf.DUMMYFUNCTION("IMPORTRANGE(""https://docs.google.com/spreadsheets/d/1-uDff_7J0KD5mKrp0Vvzr7lt3OU09vwQwhkpOPPYv2Y/edit?usp=sharing"",""งบพรบ!BB83"")"),0)</f>
        <v>0</v>
      </c>
      <c r="N100" s="46">
        <f ca="1">IFERROR(__xludf.DUMMYFUNCTION("IMPORTRANGE(""https://docs.google.com/spreadsheets/d/1-uDff_7J0KD5mKrp0Vvzr7lt3OU09vwQwhkpOPPYv2Y/edit?usp=sharing"",""งบพรบ!BD83"")"),0)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IFERROR(__xludf.DUMMYFUNCTION("IMPORTRANGE(""https://docs.google.com/spreadsheets/d/1ItG2mGa2ceCfYo0BwxsXqNm01IGEUdYcSSLTEv9YCik/edit?usp=sharing"",""เบิกจ่ายกองทุน!AD83"")"),0)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IFERROR(__xludf.DUMMYFUNCTION("IMPORTRANGE(""https://docs.google.com/spreadsheets/d/1ItG2mGa2ceCfYo0BwxsXqNm01IGEUdYcSSLTEv9YCik/edit?usp=sharing"",""เบิกจ่ายกองทุน!AE83"")"),0)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IFERROR(__xludf.DUMMYFUNCTION("IMPORTRANGE(""https://docs.google.com/spreadsheets/d/1ItG2mGa2ceCfYo0BwxsXqNm01IGEUdYcSSLTEv9YCik/edit?usp=sharing"",""เบิกจ่ายกองทุน!AF83"")"),0)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IFERROR(__xludf.DUMMYFUNCTION("IMPORTRANGE(""https://docs.google.com/spreadsheets/d/1-uDff_7J0KD5mKrp0Vvzr7lt3OU09vwQwhkpOPPYv2Y/edit?usp=sharing"",""งบพรบ!AZ83"")"),0)</f>
        <v>0</v>
      </c>
      <c r="M103" s="46">
        <f ca="1">IFERROR(__xludf.DUMMYFUNCTION("IMPORTRANGE(""https://docs.google.com/spreadsheets/d/1-uDff_7J0KD5mKrp0Vvzr7lt3OU09vwQwhkpOPPYv2Y/edit?usp=sharing"",""งบพรบ!BC83"")"),0)</f>
        <v>0</v>
      </c>
      <c r="N103" s="46">
        <f ca="1">IFERROR(__xludf.DUMMYFUNCTION("IMPORTRANGE(""https://docs.google.com/spreadsheets/d/1-uDff_7J0KD5mKrp0Vvzr7lt3OU09vwQwhkpOPPYv2Y/edit?usp=sharing"",""งบพรบ!BE83"")"),0)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IFERROR(__xludf.DUMMYFUNCTION("IMPORTRANGE(""https://docs.google.com/spreadsheets/d/1eHaY18a8A9IcSdp1K8H6x8fbOy06t2VsZHhMHf-1x7Y/edit?usp=sharing"",""แผน!N83"")"),0)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IFERROR(__xludf.DUMMYFUNCTION("IMPORTRANGE(""https://docs.google.com/spreadsheets/d/1eHaY18a8A9IcSdp1K8H6x8fbOy06t2VsZHhMHf-1x7Y/edit?usp=sharing"",""แผน!O83"")"),0)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IFERROR(__xludf.DUMMYFUNCTION("IMPORTRANGE(""https://docs.google.com/spreadsheets/d/1eHaY18a8A9IcSdp1K8H6x8fbOy06t2VsZHhMHf-1x7Y/edit?usp=sharing"",""แผน!R83"")"),0)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10</v>
      </c>
      <c r="J117" s="127">
        <f t="shared" si="72"/>
        <v>10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173660</v>
      </c>
      <c r="R118" s="132">
        <f t="shared" ca="1" si="76"/>
        <v>173660</v>
      </c>
      <c r="S118" s="132">
        <f t="shared" ca="1" si="76"/>
        <v>76780.649999999994</v>
      </c>
      <c r="T118" s="132">
        <f t="shared" ref="T118:T126" ca="1" si="77">IF(Q118&gt;0,S118*100/Q118,0)</f>
        <v>44.213203961764364</v>
      </c>
      <c r="U118" s="132">
        <f t="shared" ref="U118:U126" ca="1" si="78">IF(R118&gt;0,S118*100/R118,0)</f>
        <v>44.213203961764364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173660</v>
      </c>
      <c r="R120" s="46">
        <f t="shared" ca="1" si="80"/>
        <v>173660</v>
      </c>
      <c r="S120" s="46">
        <f t="shared" ca="1" si="80"/>
        <v>76780.649999999994</v>
      </c>
      <c r="T120" s="46">
        <f t="shared" ca="1" si="77"/>
        <v>44.213203961764364</v>
      </c>
      <c r="U120" s="46">
        <f t="shared" ca="1" si="78"/>
        <v>44.213203961764364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173660</v>
      </c>
      <c r="R121" s="46">
        <f t="shared" ca="1" si="82"/>
        <v>173660</v>
      </c>
      <c r="S121" s="46">
        <f t="shared" ca="1" si="82"/>
        <v>76780.649999999994</v>
      </c>
      <c r="T121" s="46">
        <f t="shared" ca="1" si="77"/>
        <v>44.213203961764364</v>
      </c>
      <c r="U121" s="46">
        <f t="shared" ca="1" si="78"/>
        <v>44.213203961764364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IFERROR(__xludf.DUMMYFUNCTION("IMPORTRANGE(""https://docs.google.com/spreadsheets/d/1-uDff_7J0KD5mKrp0Vvzr7lt3OU09vwQwhkpOPPYv2Y/edit?usp=sharing"",""งบพรบ!BG83"")"),0)</f>
        <v>0</v>
      </c>
      <c r="M123" s="46">
        <f ca="1">IFERROR(__xludf.DUMMYFUNCTION("IMPORTRANGE(""https://docs.google.com/spreadsheets/d/1-uDff_7J0KD5mKrp0Vvzr7lt3OU09vwQwhkpOPPYv2Y/edit?usp=sharing"",""งบพรบ!BL83"")"),0)</f>
        <v>0</v>
      </c>
      <c r="N123" s="46">
        <f ca="1">IFERROR(__xludf.DUMMYFUNCTION("IMPORTRANGE(""https://docs.google.com/spreadsheets/d/1-uDff_7J0KD5mKrp0Vvzr7lt3OU09vwQwhkpOPPYv2Y/edit?usp=sharing"",""งบพรบ!BN83"")"),0)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IFERROR(__xludf.DUMMYFUNCTION("IMPORTRANGE(""https://docs.google.com/spreadsheets/d/1ItG2mGa2ceCfYo0BwxsXqNm01IGEUdYcSSLTEv9YCik/edit?usp=sharing"",""เบิกจ่ายกองทุน!R83"")"),173660)</f>
        <v>173660</v>
      </c>
      <c r="R123" s="46">
        <f ca="1">IFERROR(__xludf.DUMMYFUNCTION("IMPORTRANGE(""https://docs.google.com/spreadsheets/d/1ItG2mGa2ceCfYo0BwxsXqNm01IGEUdYcSSLTEv9YCik/edit?usp=sharing"",""เบิกจ่ายกองทุน!S83"")"),173660)</f>
        <v>173660</v>
      </c>
      <c r="S123" s="46">
        <f ca="1">IFERROR(__xludf.DUMMYFUNCTION("IMPORTRANGE(""https://docs.google.com/spreadsheets/d/1ItG2mGa2ceCfYo0BwxsXqNm01IGEUdYcSSLTEv9YCik/edit?usp=sharing"",""เบิกจ่ายกองทุน!T83"")"),76780.65)</f>
        <v>76780.649999999994</v>
      </c>
      <c r="T123" s="46">
        <f t="shared" ca="1" si="77"/>
        <v>44.213203961764364</v>
      </c>
      <c r="U123" s="46">
        <f t="shared" ca="1" si="78"/>
        <v>44.213203961764364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IFERROR(__xludf.DUMMYFUNCTION("IMPORTRANGE(""https://docs.google.com/spreadsheets/d/1-uDff_7J0KD5mKrp0Vvzr7lt3OU09vwQwhkpOPPYv2Y/edit?usp=sharing"",""งบพรบ!BJ83"")"),0)</f>
        <v>0</v>
      </c>
      <c r="M126" s="46">
        <f ca="1">IFERROR(__xludf.DUMMYFUNCTION("IMPORTRANGE(""https://docs.google.com/spreadsheets/d/1-uDff_7J0KD5mKrp0Vvzr7lt3OU09vwQwhkpOPPYv2Y/edit?usp=sharing"",""งบพรบ!BM83"")"),0)</f>
        <v>0</v>
      </c>
      <c r="N126" s="46">
        <f ca="1">IFERROR(__xludf.DUMMYFUNCTION("IMPORTRANGE(""https://docs.google.com/spreadsheets/d/1-uDff_7J0KD5mKrp0Vvzr7lt3OU09vwQwhkpOPPYv2Y/edit?usp=sharing"",""งบพรบ!BO83"")"),0)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IFERROR(__xludf.DUMMYFUNCTION("IMPORTRANGE(""https://docs.google.com/spreadsheets/d/1eHaY18a8A9IcSdp1K8H6x8fbOy06t2VsZHhMHf-1x7Y/edit?usp=sharing"",""แผน!FF83"")"),10)</f>
        <v>10</v>
      </c>
      <c r="J128" s="168">
        <v>10</v>
      </c>
      <c r="K128" s="46">
        <f t="shared" ref="K128:K131" ca="1" si="85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IFERROR(__xludf.DUMMYFUNCTION("IMPORTRANGE(""https://docs.google.com/spreadsheets/d/1eHaY18a8A9IcSdp1K8H6x8fbOy06t2VsZHhMHf-1x7Y/edit?usp=sharing"",""แผน!FG83"")"),0)</f>
        <v>0</v>
      </c>
      <c r="J129" s="168">
        <v>1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IFERROR(__xludf.DUMMYFUNCTION("IMPORTRANGE(""https://docs.google.com/spreadsheets/d/1eHaY18a8A9IcSdp1K8H6x8fbOy06t2VsZHhMHf-1x7Y/edit?usp=sharing"",""แผน!FH83"")"),10)</f>
        <v>10</v>
      </c>
      <c r="J130" s="168">
        <v>10</v>
      </c>
      <c r="K130" s="46">
        <f t="shared" ca="1" si="85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IFERROR(__xludf.DUMMYFUNCTION("IMPORTRANGE(""https://docs.google.com/spreadsheets/d/1eHaY18a8A9IcSdp1K8H6x8fbOy06t2VsZHhMHf-1x7Y/edit?usp=sharing"",""แผน!FI83"")"),0)</f>
        <v>0</v>
      </c>
      <c r="J131" s="168">
        <v>1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0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0</v>
      </c>
      <c r="J138" s="127">
        <f t="shared" si="88"/>
        <v>0</v>
      </c>
      <c r="K138" s="34">
        <f t="shared" ca="1" si="87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0</v>
      </c>
      <c r="J139" s="127">
        <f t="shared" si="88"/>
        <v>0</v>
      </c>
      <c r="K139" s="34">
        <f t="shared" ca="1" si="87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0</v>
      </c>
      <c r="M140" s="132">
        <f t="shared" ca="1" si="89"/>
        <v>0</v>
      </c>
      <c r="N140" s="132">
        <f t="shared" ca="1" si="89"/>
        <v>0</v>
      </c>
      <c r="O140" s="132">
        <f t="shared" ref="O140:O148" ca="1" si="90">IF(L140&gt;0,N140*100/L140,0)</f>
        <v>0</v>
      </c>
      <c r="P140" s="132">
        <f t="shared" ref="P140:P148" ca="1" si="91">IF(M140&gt;0,N140*100/M140,0)</f>
        <v>0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0</v>
      </c>
      <c r="M142" s="46">
        <f t="shared" ca="1" si="95"/>
        <v>0</v>
      </c>
      <c r="N142" s="46">
        <f t="shared" ca="1" si="95"/>
        <v>0</v>
      </c>
      <c r="O142" s="46">
        <f t="shared" ca="1" si="90"/>
        <v>0</v>
      </c>
      <c r="P142" s="46">
        <f t="shared" ca="1" si="91"/>
        <v>0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0</v>
      </c>
      <c r="M143" s="46">
        <f t="shared" ca="1" si="97"/>
        <v>0</v>
      </c>
      <c r="N143" s="46">
        <f t="shared" ca="1" si="97"/>
        <v>0</v>
      </c>
      <c r="O143" s="46">
        <f t="shared" ca="1" si="90"/>
        <v>0</v>
      </c>
      <c r="P143" s="46">
        <f t="shared" ca="1" si="91"/>
        <v>0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IFERROR(__xludf.DUMMYFUNCTION("IMPORTRANGE(""https://docs.google.com/spreadsheets/d/1-uDff_7J0KD5mKrp0Vvzr7lt3OU09vwQwhkpOPPYv2Y/edit?usp=sharing"",""งบพรบ!BQ83"")"),0)</f>
        <v>0</v>
      </c>
      <c r="M145" s="46">
        <f ca="1">IFERROR(__xludf.DUMMYFUNCTION("IMPORTRANGE(""https://docs.google.com/spreadsheets/d/1-uDff_7J0KD5mKrp0Vvzr7lt3OU09vwQwhkpOPPYv2Y/edit?usp=sharing"",""งบพรบ!BV83"")"),0)</f>
        <v>0</v>
      </c>
      <c r="N145" s="46">
        <f ca="1">IFERROR(__xludf.DUMMYFUNCTION("IMPORTRANGE(""https://docs.google.com/spreadsheets/d/1-uDff_7J0KD5mKrp0Vvzr7lt3OU09vwQwhkpOPPYv2Y/edit?usp=sharing"",""งบพรบ!BX83"")"),0)</f>
        <v>0</v>
      </c>
      <c r="O145" s="46">
        <f t="shared" ca="1" si="90"/>
        <v>0</v>
      </c>
      <c r="P145" s="46">
        <f t="shared" ca="1" si="91"/>
        <v>0</v>
      </c>
      <c r="Q145" s="46">
        <f ca="1">IFERROR(__xludf.DUMMYFUNCTION("IMPORTRANGE(""https://docs.google.com/spreadsheets/d/1ItG2mGa2ceCfYo0BwxsXqNm01IGEUdYcSSLTEv9YCik/edit?usp=sharing"",""เบิกจ่ายกองทุน!BB83"")"),0)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IFERROR(__xludf.DUMMYFUNCTION("IMPORTRANGE(""https://docs.google.com/spreadsheets/d/1ItG2mGa2ceCfYo0BwxsXqNm01IGEUdYcSSLTEv9YCik/edit?usp=sharing"",""เบิกจ่ายกองทุน!BC83"")"),0)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IFERROR(__xludf.DUMMYFUNCTION("IMPORTRANGE(""https://docs.google.com/spreadsheets/d/1ItG2mGa2ceCfYo0BwxsXqNm01IGEUdYcSSLTEv9YCik/edit?usp=sharing"",""เบิกจ่ายกองทุน!BD83"")"),0)</f>
        <v>0</v>
      </c>
      <c r="T145" s="46">
        <f t="shared" ca="1" si="93"/>
        <v>0</v>
      </c>
      <c r="U145" s="46">
        <f t="shared" ca="1" si="94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IFERROR(__xludf.DUMMYFUNCTION("IMPORTRANGE(""https://docs.google.com/spreadsheets/d/1-uDff_7J0KD5mKrp0Vvzr7lt3OU09vwQwhkpOPPYv2Y/edit?usp=sharing"",""งบพรบ!BT83"")"),0)</f>
        <v>0</v>
      </c>
      <c r="M148" s="46">
        <f ca="1">IFERROR(__xludf.DUMMYFUNCTION("IMPORTRANGE(""https://docs.google.com/spreadsheets/d/1-uDff_7J0KD5mKrp0Vvzr7lt3OU09vwQwhkpOPPYv2Y/edit?usp=sharing"",""งบพรบ!BW83"")"),0)</f>
        <v>0</v>
      </c>
      <c r="N148" s="46">
        <f ca="1">IFERROR(__xludf.DUMMYFUNCTION("IMPORTRANGE(""https://docs.google.com/spreadsheets/d/1-uDff_7J0KD5mKrp0Vvzr7lt3OU09vwQwhkpOPPYv2Y/edit?usp=sharing"",""งบพรบ!BY83"")"),0)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IFERROR(__xludf.DUMMYFUNCTION("IMPORTRANGE(""https://docs.google.com/spreadsheets/d/1eHaY18a8A9IcSdp1K8H6x8fbOy06t2VsZHhMHf-1x7Y/edit?usp=sharing"",""แผน!U83"")"),0)</f>
        <v>0</v>
      </c>
      <c r="J151" s="168">
        <v>0</v>
      </c>
      <c r="K151" s="46">
        <f t="shared" ref="K151:K155" ca="1" si="101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IFERROR(__xludf.DUMMYFUNCTION("IMPORTRANGE(""https://docs.google.com/spreadsheets/d/1eHaY18a8A9IcSdp1K8H6x8fbOy06t2VsZHhMHf-1x7Y/edit?usp=sharing"",""แผน!V83"")"),0)</f>
        <v>0</v>
      </c>
      <c r="J152" s="168">
        <v>0</v>
      </c>
      <c r="K152" s="46">
        <f t="shared" ca="1" si="101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IFERROR(__xludf.DUMMYFUNCTION("IMPORTRANGE(""https://docs.google.com/spreadsheets/d/1eHaY18a8A9IcSdp1K8H6x8fbOy06t2VsZHhMHf-1x7Y/edit?usp=sharing"",""แผน!W83"")"),0)</f>
        <v>0</v>
      </c>
      <c r="J153" s="168">
        <v>0</v>
      </c>
      <c r="K153" s="46">
        <f t="shared" ca="1" si="101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IFERROR(__xludf.DUMMYFUNCTION("IMPORTRANGE(""https://docs.google.com/spreadsheets/d/1eHaY18a8A9IcSdp1K8H6x8fbOy06t2VsZHhMHf-1x7Y/edit?usp=sharing"",""แผน!X83"")"),0)</f>
        <v>0</v>
      </c>
      <c r="J154" s="168">
        <v>0</v>
      </c>
      <c r="K154" s="46">
        <f t="shared" ca="1" si="101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IFERROR(__xludf.DUMMYFUNCTION("IMPORTRANGE(""https://docs.google.com/spreadsheets/d/1eHaY18a8A9IcSdp1K8H6x8fbOy06t2VsZHhMHf-1x7Y/edit?usp=sharing"",""แผน!Y83"")"),0)</f>
        <v>0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IFERROR(__xludf.DUMMYFUNCTION("IMPORTRANGE(""https://docs.google.com/spreadsheets/d/1-uDff_7J0KD5mKrp0Vvzr7lt3OU09vwQwhkpOPPYv2Y/edit?usp=sharing"",""งบพรบ!CA83"")"),0)</f>
        <v>0</v>
      </c>
      <c r="M163" s="46">
        <f ca="1">IFERROR(__xludf.DUMMYFUNCTION("IMPORTRANGE(""https://docs.google.com/spreadsheets/d/1-uDff_7J0KD5mKrp0Vvzr7lt3OU09vwQwhkpOPPYv2Y/edit?usp=sharing"",""งบพรบ!CF83"")"),0)</f>
        <v>0</v>
      </c>
      <c r="N163" s="46">
        <f ca="1">IFERROR(__xludf.DUMMYFUNCTION("IMPORTRANGE(""https://docs.google.com/spreadsheets/d/1-uDff_7J0KD5mKrp0Vvzr7lt3OU09vwQwhkpOPPYv2Y/edit?usp=sharing"",""งบพรบ!CH83"")"),0)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IFERROR(__xludf.DUMMYFUNCTION("IMPORTRANGE(""https://docs.google.com/spreadsheets/d/1ItG2mGa2ceCfYo0BwxsXqNm01IGEUdYcSSLTEv9YCik/edit?usp=sharing"",""เบิกจ่ายกองทุน!AG83"")"),0)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IFERROR(__xludf.DUMMYFUNCTION("IMPORTRANGE(""https://docs.google.com/spreadsheets/d/1ItG2mGa2ceCfYo0BwxsXqNm01IGEUdYcSSLTEv9YCik/edit?usp=sharing"",""เบิกจ่ายกองทุน!AH83"")"),0)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IFERROR(__xludf.DUMMYFUNCTION("IMPORTRANGE(""https://docs.google.com/spreadsheets/d/1ItG2mGa2ceCfYo0BwxsXqNm01IGEUdYcSSLTEv9YCik/edit?usp=sharing"",""เบิกจ่ายกองทุน!AI83"")"),0)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IFERROR(__xludf.DUMMYFUNCTION("IMPORTRANGE(""https://docs.google.com/spreadsheets/d/1-uDff_7J0KD5mKrp0Vvzr7lt3OU09vwQwhkpOPPYv2Y/edit?usp=sharing"",""งบพรบ!CD83"")"),0)</f>
        <v>0</v>
      </c>
      <c r="M166" s="46">
        <f ca="1">IFERROR(__xludf.DUMMYFUNCTION("IMPORTRANGE(""https://docs.google.com/spreadsheets/d/1-uDff_7J0KD5mKrp0Vvzr7lt3OU09vwQwhkpOPPYv2Y/edit?usp=sharing"",""งบพรบ!CG83"")"),0)</f>
        <v>0</v>
      </c>
      <c r="N166" s="46">
        <f ca="1">IFERROR(__xludf.DUMMYFUNCTION("IMPORTRANGE(""https://docs.google.com/spreadsheets/d/1-uDff_7J0KD5mKrp0Vvzr7lt3OU09vwQwhkpOPPYv2Y/edit?usp=sharing"",""งบพรบ!CI83"")"),0)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IFERROR(__xludf.DUMMYFUNCTION("IMPORTRANGE(""https://docs.google.com/spreadsheets/d/1eHaY18a8A9IcSdp1K8H6x8fbOy06t2VsZHhMHf-1x7Y/edit?usp=sharing"",""แผน!Z83"")"),0)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IFERROR(__xludf.DUMMYFUNCTION("IMPORTRANGE(""https://docs.google.com/spreadsheets/d/1eHaY18a8A9IcSdp1K8H6x8fbOy06t2VsZHhMHf-1x7Y/edit?usp=sharing"",""แผน!Z83"")"),0)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IFERROR(__xludf.DUMMYFUNCTION("IMPORTRANGE(""https://docs.google.com/spreadsheets/d/1eHaY18a8A9IcSdp1K8H6x8fbOy06t2VsZHhMHf-1x7Y/edit?usp=sharing"",""แผน!Z83"")"),0)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hidden="1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0</v>
      </c>
      <c r="J173" s="221">
        <f t="shared" si="116"/>
        <v>0</v>
      </c>
      <c r="K173" s="222">
        <f ca="1">IF(I173&gt;0,J173*100/I173,0)</f>
        <v>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hidden="1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0</v>
      </c>
      <c r="M174" s="132">
        <f t="shared" ca="1" si="117"/>
        <v>17470</v>
      </c>
      <c r="N174" s="132">
        <f t="shared" ca="1" si="117"/>
        <v>17470</v>
      </c>
      <c r="O174" s="132">
        <f t="shared" ref="O174:O182" ca="1" si="118">IF(L174&gt;0,N174*100/L174,0)</f>
        <v>0</v>
      </c>
      <c r="P174" s="132">
        <f t="shared" ref="P174:P182" ca="1" si="119">IF(M174&gt;0,N174*100/M174,0)</f>
        <v>100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0</v>
      </c>
      <c r="M176" s="46">
        <f t="shared" ca="1" si="123"/>
        <v>17470</v>
      </c>
      <c r="N176" s="46">
        <f t="shared" ca="1" si="123"/>
        <v>17470</v>
      </c>
      <c r="O176" s="46">
        <f t="shared" ca="1" si="118"/>
        <v>0</v>
      </c>
      <c r="P176" s="46">
        <f t="shared" ca="1" si="119"/>
        <v>100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hidden="1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0</v>
      </c>
      <c r="M177" s="46">
        <f t="shared" ca="1" si="125"/>
        <v>17470</v>
      </c>
      <c r="N177" s="46">
        <f t="shared" ca="1" si="125"/>
        <v>17470</v>
      </c>
      <c r="O177" s="46">
        <f t="shared" ca="1" si="118"/>
        <v>0</v>
      </c>
      <c r="P177" s="46">
        <f t="shared" ca="1" si="119"/>
        <v>100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IFERROR(__xludf.DUMMYFUNCTION("IMPORTRANGE(""https://docs.google.com/spreadsheets/d/1-uDff_7J0KD5mKrp0Vvzr7lt3OU09vwQwhkpOPPYv2Y/edit?usp=sharing"",""งบพรบ!CK83"")"),0)</f>
        <v>0</v>
      </c>
      <c r="M179" s="46">
        <f ca="1">IFERROR(__xludf.DUMMYFUNCTION("IMPORTRANGE(""https://docs.google.com/spreadsheets/d/1-uDff_7J0KD5mKrp0Vvzr7lt3OU09vwQwhkpOPPYv2Y/edit?usp=sharing"",""งบพรบ!CP83"")"),17470)</f>
        <v>17470</v>
      </c>
      <c r="N179" s="46">
        <f ca="1">IFERROR(__xludf.DUMMYFUNCTION("IMPORTRANGE(""https://docs.google.com/spreadsheets/d/1-uDff_7J0KD5mKrp0Vvzr7lt3OU09vwQwhkpOPPYv2Y/edit?usp=sharing"",""งบพรบ!CR83"")"),17470)</f>
        <v>17470</v>
      </c>
      <c r="O179" s="46">
        <f t="shared" ca="1" si="118"/>
        <v>0</v>
      </c>
      <c r="P179" s="46">
        <f t="shared" ca="1" si="119"/>
        <v>100</v>
      </c>
      <c r="Q179" s="46">
        <f ca="1">IFERROR(__xludf.DUMMYFUNCTION("IMPORTRANGE(""https://docs.google.com/spreadsheets/d/1ItG2mGa2ceCfYo0BwxsXqNm01IGEUdYcSSLTEv9YCik/edit?usp=sharing"",""เบิกจ่ายกองทุน!BE83"")"),0)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IFERROR(__xludf.DUMMYFUNCTION("IMPORTRANGE(""https://docs.google.com/spreadsheets/d/1ItG2mGa2ceCfYo0BwxsXqNm01IGEUdYcSSLTEv9YCik/edit?usp=sharing"",""เบิกจ่ายกองทุน!BF83"")"),0)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IFERROR(__xludf.DUMMYFUNCTION("IMPORTRANGE(""https://docs.google.com/spreadsheets/d/1ItG2mGa2ceCfYo0BwxsXqNm01IGEUdYcSSLTEv9YCik/edit?usp=sharing"",""เบิกจ่ายกองทุน!BG83"")"),0)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hidden="1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IFERROR(__xludf.DUMMYFUNCTION("IMPORTRANGE(""https://docs.google.com/spreadsheets/d/1-uDff_7J0KD5mKrp0Vvzr7lt3OU09vwQwhkpOPPYv2Y/edit?usp=sharing"",""งบพรบ!CN83"")"),0)</f>
        <v>0</v>
      </c>
      <c r="M182" s="46">
        <f ca="1">IFERROR(__xludf.DUMMYFUNCTION("IMPORTRANGE(""https://docs.google.com/spreadsheets/d/1-uDff_7J0KD5mKrp0Vvzr7lt3OU09vwQwhkpOPPYv2Y/edit?usp=sharing"",""งบพรบ!CQ83"")"),0)</f>
        <v>0</v>
      </c>
      <c r="N182" s="46">
        <f ca="1">IFERROR(__xludf.DUMMYFUNCTION("IMPORTRANGE(""https://docs.google.com/spreadsheets/d/1-uDff_7J0KD5mKrp0Vvzr7lt3OU09vwQwhkpOPPYv2Y/edit?usp=sharing"",""งบพรบ!CS83"")"),0)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hidden="1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IFERROR(__xludf.DUMMYFUNCTION("IMPORTRANGE(""https://docs.google.com/spreadsheets/d/1eHaY18a8A9IcSdp1K8H6x8fbOy06t2VsZHhMHf-1x7Y/edit?usp=sharing"",""แผน!AA83"")"),0)</f>
        <v>0</v>
      </c>
      <c r="J184" s="168">
        <v>0</v>
      </c>
      <c r="K184" s="46">
        <f t="shared" ref="K184:K186" ca="1" si="129">IF(I184&gt;0,J184*100/I184,0)</f>
        <v>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0</v>
      </c>
      <c r="J186" s="221">
        <f t="shared" si="130"/>
        <v>0</v>
      </c>
      <c r="K186" s="222">
        <f t="shared" ca="1" si="129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80500</v>
      </c>
      <c r="M187" s="132">
        <f t="shared" ca="1" si="131"/>
        <v>80500</v>
      </c>
      <c r="N187" s="132">
        <f t="shared" ca="1" si="131"/>
        <v>27859</v>
      </c>
      <c r="O187" s="132">
        <f t="shared" ref="O187:O195" ca="1" si="132">IF(L187&gt;0,N187*100/L187,0)</f>
        <v>34.60745341614907</v>
      </c>
      <c r="P187" s="132">
        <f t="shared" ref="P187:P195" ca="1" si="133">IF(M187&gt;0,N187*100/M187,0)</f>
        <v>34.60745341614907</v>
      </c>
      <c r="Q187" s="132">
        <f t="shared" ref="Q187:S187" ca="1" si="134">Q188+Q189</f>
        <v>0</v>
      </c>
      <c r="R187" s="132">
        <f t="shared" ca="1" si="134"/>
        <v>0</v>
      </c>
      <c r="S187" s="132">
        <f t="shared" ca="1" si="134"/>
        <v>0</v>
      </c>
      <c r="T187" s="132">
        <f t="shared" ref="T187:T195" ca="1" si="135">IF(Q187&gt;0,S187*100/Q187,0)</f>
        <v>0</v>
      </c>
      <c r="U187" s="132">
        <f t="shared" ref="U187:U195" ca="1" si="136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80500</v>
      </c>
      <c r="M189" s="46">
        <f t="shared" ca="1" si="137"/>
        <v>80500</v>
      </c>
      <c r="N189" s="46">
        <f t="shared" ca="1" si="137"/>
        <v>27859</v>
      </c>
      <c r="O189" s="46">
        <f t="shared" ca="1" si="132"/>
        <v>34.60745341614907</v>
      </c>
      <c r="P189" s="46">
        <f t="shared" ca="1" si="133"/>
        <v>34.60745341614907</v>
      </c>
      <c r="Q189" s="46">
        <f t="shared" ca="1" si="138"/>
        <v>0</v>
      </c>
      <c r="R189" s="46">
        <f t="shared" ca="1" si="138"/>
        <v>0</v>
      </c>
      <c r="S189" s="46">
        <f t="shared" ca="1" si="138"/>
        <v>0</v>
      </c>
      <c r="T189" s="46">
        <f t="shared" ca="1" si="135"/>
        <v>0</v>
      </c>
      <c r="U189" s="46">
        <f t="shared" ca="1" si="136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80500</v>
      </c>
      <c r="M190" s="46">
        <f t="shared" ca="1" si="139"/>
        <v>80500</v>
      </c>
      <c r="N190" s="46">
        <f t="shared" ca="1" si="139"/>
        <v>27859</v>
      </c>
      <c r="O190" s="46">
        <f t="shared" ca="1" si="132"/>
        <v>34.60745341614907</v>
      </c>
      <c r="P190" s="46">
        <f t="shared" ca="1" si="133"/>
        <v>34.60745341614907</v>
      </c>
      <c r="Q190" s="46">
        <f t="shared" ref="Q190:S190" ca="1" si="140">Q191+Q192</f>
        <v>0</v>
      </c>
      <c r="R190" s="46">
        <f t="shared" ca="1" si="140"/>
        <v>0</v>
      </c>
      <c r="S190" s="46">
        <f t="shared" ca="1" si="140"/>
        <v>0</v>
      </c>
      <c r="T190" s="46">
        <f t="shared" ca="1" si="135"/>
        <v>0</v>
      </c>
      <c r="U190" s="46">
        <f t="shared" ca="1" si="136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IFERROR(__xludf.DUMMYFUNCTION("IMPORTRANGE(""https://docs.google.com/spreadsheets/d/1-uDff_7J0KD5mKrp0Vvzr7lt3OU09vwQwhkpOPPYv2Y/edit?usp=sharing"",""งบพรบ!CU83"")"),80500)</f>
        <v>80500</v>
      </c>
      <c r="M192" s="46">
        <f ca="1">IFERROR(__xludf.DUMMYFUNCTION("IMPORTRANGE(""https://docs.google.com/spreadsheets/d/1-uDff_7J0KD5mKrp0Vvzr7lt3OU09vwQwhkpOPPYv2Y/edit?usp=sharing"",""งบพรบ!CZ83"")"),80500)</f>
        <v>80500</v>
      </c>
      <c r="N192" s="46">
        <f ca="1">IFERROR(__xludf.DUMMYFUNCTION("IMPORTRANGE(""https://docs.google.com/spreadsheets/d/1-uDff_7J0KD5mKrp0Vvzr7lt3OU09vwQwhkpOPPYv2Y/edit?usp=sharing"",""งบพรบ!DB83"")"),27859)</f>
        <v>27859</v>
      </c>
      <c r="O192" s="46">
        <f t="shared" ca="1" si="132"/>
        <v>34.60745341614907</v>
      </c>
      <c r="P192" s="46">
        <f t="shared" ca="1" si="133"/>
        <v>34.60745341614907</v>
      </c>
      <c r="Q192" s="46">
        <f ca="1">IFERROR(__xludf.DUMMYFUNCTION("IMPORTRANGE(""https://docs.google.com/spreadsheets/d/1ItG2mGa2ceCfYo0BwxsXqNm01IGEUdYcSSLTEv9YCik/edit?usp=sharing"",""เบิกจ่ายกองทุน!AV83"")"),0)</f>
        <v>0</v>
      </c>
      <c r="R192" s="46">
        <f ca="1">IFERROR(__xludf.DUMMYFUNCTION("IMPORTRANGE(""https://docs.google.com/spreadsheets/d/1ItG2mGa2ceCfYo0BwxsXqNm01IGEUdYcSSLTEv9YCik/edit?usp=sharing"",""เบิกจ่ายกองทุน!AW83"")"),0)</f>
        <v>0</v>
      </c>
      <c r="S192" s="46">
        <f ca="1">IFERROR(__xludf.DUMMYFUNCTION("IMPORTRANGE(""https://docs.google.com/spreadsheets/d/1ItG2mGa2ceCfYo0BwxsXqNm01IGEUdYcSSLTEv9YCik/edit?usp=sharing"",""เบิกจ่ายกองทุน!AX83"")"),0)</f>
        <v>0</v>
      </c>
      <c r="T192" s="46">
        <f t="shared" ca="1" si="135"/>
        <v>0</v>
      </c>
      <c r="U192" s="46">
        <f t="shared" ca="1" si="136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IFERROR(__xludf.DUMMYFUNCTION("IMPORTRANGE(""https://docs.google.com/spreadsheets/d/1-uDff_7J0KD5mKrp0Vvzr7lt3OU09vwQwhkpOPPYv2Y/edit?usp=sharing"",""งบพรบ!CX83"")"),0)</f>
        <v>0</v>
      </c>
      <c r="M195" s="46">
        <f ca="1">IFERROR(__xludf.DUMMYFUNCTION("IMPORTRANGE(""https://docs.google.com/spreadsheets/d/1-uDff_7J0KD5mKrp0Vvzr7lt3OU09vwQwhkpOPPYv2Y/edit?usp=sharing"",""งบพรบ!DA83"")"),0)</f>
        <v>0</v>
      </c>
      <c r="N195" s="46">
        <f ca="1">IFERROR(__xludf.DUMMYFUNCTION("IMPORTRANGE(""https://docs.google.com/spreadsheets/d/1-uDff_7J0KD5mKrp0Vvzr7lt3OU09vwQwhkpOPPYv2Y/edit?usp=sharing"",""งบพรบ!DC83"")"),0)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IFERROR(__xludf.DUMMYFUNCTION("IMPORTRANGE(""https://docs.google.com/spreadsheets/d/1eHaY18a8A9IcSdp1K8H6x8fbOy06t2VsZHhMHf-1x7Y/edit?usp=sharing"",""แผน!AB83"")"),6000)</f>
        <v>6000</v>
      </c>
      <c r="M197" s="45"/>
      <c r="N197" s="564">
        <v>1900</v>
      </c>
      <c r="O197" s="132">
        <f ca="1">IF(L197&gt;0,N197*100/L197,0)</f>
        <v>31.666666666666668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IFERROR(__xludf.DUMMYFUNCTION("IMPORTRANGE(""https://docs.google.com/spreadsheets/d/1eHaY18a8A9IcSdp1K8H6x8fbOy06t2VsZHhMHf-1x7Y/edit?usp=sharing"",""แผน!AE83"")"),4)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47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47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0</v>
      </c>
      <c r="J203" s="235">
        <f t="shared" si="144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270" t="s">
        <v>86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IFERROR(__xludf.DUMMYFUNCTION("IMPORTRANGE(""https://docs.google.com/spreadsheets/d/1eHaY18a8A9IcSdp1K8H6x8fbOy06t2VsZHhMHf-1x7Y/edit?usp=sharing"",""แผน!AG83"")"),0)</f>
        <v>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88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IFERROR(__xludf.DUMMYFUNCTION("IMPORTRANGE(""https://docs.google.com/spreadsheets/d/1eHaY18a8A9IcSdp1K8H6x8fbOy06t2VsZHhMHf-1x7Y/edit?usp=sharing"",""แผน!AH83"")"),0)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95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IFERROR(__xludf.DUMMYFUNCTION("IMPORTRANGE(""https://docs.google.com/spreadsheets/d/1eHaY18a8A9IcSdp1K8H6x8fbOy06t2VsZHhMHf-1x7Y/edit?usp=sharing"",""แผน!AI83"")"),0)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199"/>
      <c r="E208" s="199"/>
      <c r="F208" s="199"/>
      <c r="G208" s="42"/>
      <c r="H208" s="42"/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IFERROR(__xludf.DUMMYFUNCTION("IMPORTRANGE(""https://docs.google.com/spreadsheets/d/1eHaY18a8A9IcSdp1K8H6x8fbOy06t2VsZHhMHf-1x7Y/edit?usp=sharing"",""แผน!AJ83"")"),0)</f>
        <v>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IFERROR(__xludf.DUMMYFUNCTION("IMPORTRANGE(""https://docs.google.com/spreadsheets/d/1eHaY18a8A9IcSdp1K8H6x8fbOy06t2VsZHhMHf-1x7Y/edit?usp=sharing"",""แผน!AK83"")"),0)</f>
        <v>0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8">
        <v>0</v>
      </c>
      <c r="K212" s="153">
        <f t="shared" ref="K212:K214" ca="1" si="145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IFERROR(__xludf.DUMMYFUNCTION("IMPORTRANGE(""https://docs.google.com/spreadsheets/d/1eHaY18a8A9IcSdp1K8H6x8fbOy06t2VsZHhMHf-1x7Y/edit?usp=sharing"",""แผน!AK83"")"),0)</f>
        <v>0</v>
      </c>
      <c r="J213" s="168">
        <v>0</v>
      </c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0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IFERROR(__xludf.DUMMYFUNCTION("IMPORTRANGE(""https://docs.google.com/spreadsheets/d/1eHaY18a8A9IcSdp1K8H6x8fbOy06t2VsZHhMHf-1x7Y/edit?usp=sharing"",""แผน!AM83"")"),0)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IFERROR(__xludf.DUMMYFUNCTION("IMPORTRANGE(""https://docs.google.com/spreadsheets/d/1eHaY18a8A9IcSdp1K8H6x8fbOy06t2VsZHhMHf-1x7Y/edit?usp=sharing"",""แผน!AN83"")"),0)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IFERROR(__xludf.DUMMYFUNCTION("IMPORTRANGE(""https://docs.google.com/spreadsheets/d/1eHaY18a8A9IcSdp1K8H6x8fbOy06t2VsZHhMHf-1x7Y/edit?usp=sharing"",""แผน!AO83"")"),0)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IFERROR(__xludf.DUMMYFUNCTION("IMPORTRANGE(""https://docs.google.com/spreadsheets/d/1eHaY18a8A9IcSdp1K8H6x8fbOy06t2VsZHhMHf-1x7Y/edit?usp=sharing"",""แผน!AP83"")"),0)</f>
        <v>0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hidden="1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hidden="1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hidden="1" x14ac:dyDescent="0.25">
      <c r="A224" s="128"/>
      <c r="B224" s="159"/>
      <c r="C224" s="199"/>
      <c r="D224" s="270" t="s">
        <v>86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IFERROR(__xludf.DUMMYFUNCTION("IMPORTRANGE(""https://docs.google.com/spreadsheets/d/1eHaY18a8A9IcSdp1K8H6x8fbOy06t2VsZHhMHf-1x7Y/edit?usp=sharing"",""แผน!AR83"")"),0)</f>
        <v>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hidden="1" x14ac:dyDescent="0.25">
      <c r="A225" s="224"/>
      <c r="B225" s="159"/>
      <c r="C225" s="159"/>
      <c r="D225" s="270" t="s">
        <v>100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IFERROR(__xludf.DUMMYFUNCTION("IMPORTRANGE(""https://docs.google.com/spreadsheets/d/1eHaY18a8A9IcSdp1K8H6x8fbOy06t2VsZHhMHf-1x7Y/edit?usp=sharing"",""แผน!AS83"")"),0)</f>
        <v>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hidden="1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IFERROR(__xludf.DUMMYFUNCTION("IMPORTRANGE(""https://docs.google.com/spreadsheets/d/1eHaY18a8A9IcSdp1K8H6x8fbOy06t2VsZHhMHf-1x7Y/edit?usp=sharing"",""แผน!AT83"")"),0)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hidden="1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hidden="1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IFERROR(__xludf.DUMMYFUNCTION("IMPORTRANGE(""https://docs.google.com/spreadsheets/d/1eHaY18a8A9IcSdp1K8H6x8fbOy06t2VsZHhMHf-1x7Y/edit?usp=sharing"",""แผน!AV83"")"),0)</f>
        <v>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hidden="1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IFERROR(__xludf.DUMMYFUNCTION("IMPORTRANGE(""https://docs.google.com/spreadsheets/d/1eHaY18a8A9IcSdp1K8H6x8fbOy06t2VsZHhMHf-1x7Y/edit?usp=sharing"",""แผน!AU83"")"),0)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0</v>
      </c>
      <c r="J232" s="573">
        <f t="shared" si="150"/>
        <v>0</v>
      </c>
      <c r="K232" s="574">
        <f t="shared" ca="1" si="149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0</v>
      </c>
      <c r="M233" s="45"/>
      <c r="N233" s="583">
        <f t="shared" ref="N233:N237" si="152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0</v>
      </c>
      <c r="M234" s="45"/>
      <c r="N234" s="48">
        <f t="shared" si="152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0</v>
      </c>
      <c r="M235" s="45"/>
      <c r="N235" s="48">
        <f t="shared" si="152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0</v>
      </c>
      <c r="M236" s="45"/>
      <c r="N236" s="48">
        <f t="shared" si="152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0</v>
      </c>
      <c r="J239" s="340">
        <f t="shared" si="153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4">I252+I263</f>
        <v>0</v>
      </c>
      <c r="J241" s="340">
        <f t="shared" si="154"/>
        <v>0</v>
      </c>
      <c r="K241" s="48">
        <f t="shared" ref="K241:K243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4"/>
        <v>0</v>
      </c>
      <c r="J242" s="340">
        <f t="shared" si="154"/>
        <v>0</v>
      </c>
      <c r="K242" s="48">
        <f t="shared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6">I250</f>
        <v>0</v>
      </c>
      <c r="J243" s="573">
        <f t="shared" si="156"/>
        <v>0</v>
      </c>
      <c r="K243" s="574">
        <f t="shared" ca="1" si="155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IFERROR(__xludf.DUMMYFUNCTION("IMPORTRANGE(""https://docs.google.com/spreadsheets/d/1eHaY18a8A9IcSdp1K8H6x8fbOy06t2VsZHhMHf-1x7Y/edit?usp=sharing"",""แผน!AX83"")"),0)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IFERROR(__xludf.DUMMYFUNCTION("IMPORTRANGE(""https://docs.google.com/spreadsheets/d/1eHaY18a8A9IcSdp1K8H6x8fbOy06t2VsZHhMHf-1x7Y/edit?usp=sharing"",""แผน!AY83"")"),0)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IFERROR(__xludf.DUMMYFUNCTION("IMPORTRANGE(""https://docs.google.com/spreadsheets/d/1eHaY18a8A9IcSdp1K8H6x8fbOy06t2VsZHhMHf-1x7Y/edit?usp=sharing"",""แผน!AZ83"")"),0)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IFERROR(__xludf.DUMMYFUNCTION("IMPORTRANGE(""https://docs.google.com/spreadsheets/d/1eHaY18a8A9IcSdp1K8H6x8fbOy06t2VsZHhMHf-1x7Y/edit?usp=sharing"",""แผน!BA83"")"),0)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IFERROR(__xludf.DUMMYFUNCTION("IMPORTRANGE(""https://docs.google.com/spreadsheets/d/1eHaY18a8A9IcSdp1K8H6x8fbOy06t2VsZHhMHf-1x7Y/edit?usp=sharing"",""แผน!BG83"")"),0)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IFERROR(__xludf.DUMMYFUNCTION("IMPORTRANGE(""https://docs.google.com/spreadsheets/d/1eHaY18a8A9IcSdp1K8H6x8fbOy06t2VsZHhMHf-1x7Y/edit?usp=sharing"",""แผน!BB83"")"),0)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IFERROR(__xludf.DUMMYFUNCTION("IMPORTRANGE(""https://docs.google.com/spreadsheets/d/1eHaY18a8A9IcSdp1K8H6x8fbOy06t2VsZHhMHf-1x7Y/edit?usp=sharing"",""แผน!BC83"")"),0)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IFERROR(__xludf.DUMMYFUNCTION("IMPORTRANGE(""https://docs.google.com/spreadsheets/d/1eHaY18a8A9IcSdp1K8H6x8fbOy06t2VsZHhMHf-1x7Y/edit?usp=sharing"",""แผน!BD83"")"),0)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IFERROR(__xludf.DUMMYFUNCTION("IMPORTRANGE(""https://docs.google.com/spreadsheets/d/1eHaY18a8A9IcSdp1K8H6x8fbOy06t2VsZHhMHf-1x7Y/edit?usp=sharing"",""แผน!BE83"")"),0)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IFERROR(__xludf.DUMMYFUNCTION("IMPORTRANGE(""https://docs.google.com/spreadsheets/d/1eHaY18a8A9IcSdp1K8H6x8fbOy06t2VsZHhMHf-1x7Y/edit?usp=sharing"",""แผน!BH83"")"),0)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22</v>
      </c>
      <c r="J266" s="613">
        <f t="shared" si="160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50660</v>
      </c>
      <c r="R267" s="626">
        <f t="shared" ca="1" si="164"/>
        <v>50660</v>
      </c>
      <c r="S267" s="626">
        <f t="shared" ca="1" si="164"/>
        <v>0</v>
      </c>
      <c r="T267" s="626">
        <f t="shared" ref="T267:T275" ca="1" si="165">IF(Q267&gt;0,S267*100/Q267,0)</f>
        <v>0</v>
      </c>
      <c r="U267" s="626">
        <f t="shared" ref="U267:U275" ca="1" si="166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50660</v>
      </c>
      <c r="R269" s="630">
        <f t="shared" ca="1" si="168"/>
        <v>50660</v>
      </c>
      <c r="S269" s="630">
        <f t="shared" ca="1" si="168"/>
        <v>0</v>
      </c>
      <c r="T269" s="630">
        <f t="shared" ca="1" si="165"/>
        <v>0</v>
      </c>
      <c r="U269" s="630">
        <f t="shared" ca="1" si="166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50660</v>
      </c>
      <c r="R270" s="630">
        <f t="shared" ca="1" si="170"/>
        <v>50660</v>
      </c>
      <c r="S270" s="630">
        <f t="shared" ca="1" si="170"/>
        <v>0</v>
      </c>
      <c r="T270" s="630">
        <f t="shared" ca="1" si="165"/>
        <v>0</v>
      </c>
      <c r="U270" s="630">
        <f t="shared" ca="1" si="166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IFERROR(__xludf.DUMMYFUNCTION("IMPORTRANGE(""https://docs.google.com/spreadsheets/d/1-uDff_7J0KD5mKrp0Vvzr7lt3OU09vwQwhkpOPPYv2Y/edit?usp=sharing"",""งบพรบ!DE83"")"),0)</f>
        <v>0</v>
      </c>
      <c r="M272" s="630">
        <f ca="1">IFERROR(__xludf.DUMMYFUNCTION("IMPORTRANGE(""https://docs.google.com/spreadsheets/d/1-uDff_7J0KD5mKrp0Vvzr7lt3OU09vwQwhkpOPPYv2Y/edit?usp=sharing"",""งบพรบ!DJ83"")"),5000)</f>
        <v>5000</v>
      </c>
      <c r="N272" s="630">
        <f ca="1">IFERROR(__xludf.DUMMYFUNCTION("IMPORTRANGE(""https://docs.google.com/spreadsheets/d/1-uDff_7J0KD5mKrp0Vvzr7lt3OU09vwQwhkpOPPYv2Y/edit?usp=sharing"",""งบพรบ!DL83"")"),0)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IFERROR(__xludf.DUMMYFUNCTION("IMPORTRANGE(""https://docs.google.com/spreadsheets/d/1ItG2mGa2ceCfYo0BwxsXqNm01IGEUdYcSSLTEv9YCik/edit?usp=sharing"",""เบิกจ่ายกองทุน!AJ83"")"),50660)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IFERROR(__xludf.DUMMYFUNCTION("IMPORTRANGE(""https://docs.google.com/spreadsheets/d/1ItG2mGa2ceCfYo0BwxsXqNm01IGEUdYcSSLTEv9YCik/edit?usp=sharing"",""เบิกจ่ายกองทุน!AK83"")"),50660)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IFERROR(__xludf.DUMMYFUNCTION("IMPORTRANGE(""https://docs.google.com/spreadsheets/d/1ItG2mGa2ceCfYo0BwxsXqNm01IGEUdYcSSLTEv9YCik/edit?usp=sharing"",""เบิกจ่ายกองทุน!AL83"")"),0)</f>
        <v>0</v>
      </c>
      <c r="T272" s="630">
        <f t="shared" ca="1" si="165"/>
        <v>0</v>
      </c>
      <c r="U272" s="630">
        <f t="shared" ca="1" si="166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IFERROR(__xludf.DUMMYFUNCTION("IMPORTRANGE(""https://docs.google.com/spreadsheets/d/1-uDff_7J0KD5mKrp0Vvzr7lt3OU09vwQwhkpOPPYv2Y/edit?usp=sharing"",""งบพรบ!DH83"")"),0)</f>
        <v>0</v>
      </c>
      <c r="M275" s="630">
        <f ca="1">IFERROR(__xludf.DUMMYFUNCTION("IMPORTRANGE(""https://docs.google.com/spreadsheets/d/1-uDff_7J0KD5mKrp0Vvzr7lt3OU09vwQwhkpOPPYv2Y/edit?usp=sharing"",""งบพรบ!DK83"")"),0)</f>
        <v>0</v>
      </c>
      <c r="N275" s="630">
        <f ca="1">IFERROR(__xludf.DUMMYFUNCTION("IMPORTRANGE(""https://docs.google.com/spreadsheets/d/1-uDff_7J0KD5mKrp0Vvzr7lt3OU09vwQwhkpOPPYv2Y/edit?usp=sharing"",""งบพรบ!DM83"")"),0)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IFERROR(__xludf.DUMMYFUNCTION("IMPORTRANGE(""https://docs.google.com/spreadsheets/d/1eHaY18a8A9IcSdp1K8H6x8fbOy06t2VsZHhMHf-1x7Y/edit?usp=sharing"",""แผน!EC83"")"),22)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IFERROR(__xludf.DUMMYFUNCTION("IMPORTRANGE(""https://docs.google.com/spreadsheets/d/1-uDff_7J0KD5mKrp0Vvzr7lt3OU09vwQwhkpOPPYv2Y/edit?usp=sharing"",""งบพรบ!DO83"")"),0)</f>
        <v>0</v>
      </c>
      <c r="M288" s="46">
        <f ca="1">IFERROR(__xludf.DUMMYFUNCTION("IMPORTRANGE(""https://docs.google.com/spreadsheets/d/1-uDff_7J0KD5mKrp0Vvzr7lt3OU09vwQwhkpOPPYv2Y/edit?usp=sharing"",""งบพรบ!DT83"")"),0)</f>
        <v>0</v>
      </c>
      <c r="N288" s="46">
        <f ca="1">IFERROR(__xludf.DUMMYFUNCTION("IMPORTRANGE(""https://docs.google.com/spreadsheets/d/1-uDff_7J0KD5mKrp0Vvzr7lt3OU09vwQwhkpOPPYv2Y/edit?usp=sharing"",""งบพรบ!DV83"")"),0)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IFERROR(__xludf.DUMMYFUNCTION("IMPORTRANGE(""https://docs.google.com/spreadsheets/d/1-uDff_7J0KD5mKrp0Vvzr7lt3OU09vwQwhkpOPPYv2Y/edit?usp=sharing"",""งบพรบ!DR83"")"),0)</f>
        <v>0</v>
      </c>
      <c r="M291" s="46">
        <f ca="1">IFERROR(__xludf.DUMMYFUNCTION("IMPORTRANGE(""https://docs.google.com/spreadsheets/d/1-uDff_7J0KD5mKrp0Vvzr7lt3OU09vwQwhkpOPPYv2Y/edit?usp=sharing"",""งบพรบ!DU83"")"),0)</f>
        <v>0</v>
      </c>
      <c r="N291" s="46">
        <f ca="1">IFERROR(__xludf.DUMMYFUNCTION("IMPORTRANGE(""https://docs.google.com/spreadsheets/d/1-uDff_7J0KD5mKrp0Vvzr7lt3OU09vwQwhkpOPPYv2Y/edit?usp=sharing"",""งบพรบ!DW83"")"),0)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IFERROR(__xludf.DUMMYFUNCTION("IMPORTRANGE(""https://docs.google.com/spreadsheets/d/1eHaY18a8A9IcSdp1K8H6x8fbOy06t2VsZHhMHf-1x7Y/edit?usp=sharing"",""แผน!EE83"")"),0)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IFERROR(__xludf.DUMMYFUNCTION("IMPORTRANGE(""https://docs.google.com/spreadsheets/d/1eHaY18a8A9IcSdp1K8H6x8fbOy06t2VsZHhMHf-1x7Y/edit?usp=sharing"",""แผน!ED83"")"),0)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IFERROR(__xludf.DUMMYFUNCTION("IMPORTRANGE(""https://docs.google.com/spreadsheets/d/1eHaY18a8A9IcSdp1K8H6x8fbOy06t2VsZHhMHf-1x7Y/edit?usp=sharing"",""แผน!ED83"")"),0)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hidden="1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hidden="1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0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hidden="1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0</v>
      </c>
      <c r="R304" s="132">
        <f t="shared" ca="1" si="194"/>
        <v>0</v>
      </c>
      <c r="S304" s="132">
        <f t="shared" ca="1" si="194"/>
        <v>0</v>
      </c>
      <c r="T304" s="132">
        <f t="shared" ref="T304:T312" ca="1" si="195">IF(Q304&gt;0,S304*100/Q304,0)</f>
        <v>0</v>
      </c>
      <c r="U304" s="132">
        <f t="shared" ref="U304:U312" ca="1" si="196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0</v>
      </c>
      <c r="R306" s="46">
        <f t="shared" ca="1" si="198"/>
        <v>0</v>
      </c>
      <c r="S306" s="46">
        <f t="shared" ca="1" si="198"/>
        <v>0</v>
      </c>
      <c r="T306" s="46">
        <f t="shared" ca="1" si="195"/>
        <v>0</v>
      </c>
      <c r="U306" s="46">
        <f t="shared" ca="1" si="196"/>
        <v>0</v>
      </c>
    </row>
    <row r="307" spans="1:21" ht="18.75" hidden="1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0</v>
      </c>
      <c r="R307" s="46">
        <f t="shared" ca="1" si="200"/>
        <v>0</v>
      </c>
      <c r="S307" s="46">
        <f t="shared" ca="1" si="200"/>
        <v>0</v>
      </c>
      <c r="T307" s="46">
        <f t="shared" ca="1" si="195"/>
        <v>0</v>
      </c>
      <c r="U307" s="46">
        <f t="shared" ca="1" si="196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IFERROR(__xludf.DUMMYFUNCTION("IMPORTRANGE(""https://docs.google.com/spreadsheets/d/1-uDff_7J0KD5mKrp0Vvzr7lt3OU09vwQwhkpOPPYv2Y/edit?usp=sharing"",""งบพรบ!DY83"")"),0)</f>
        <v>0</v>
      </c>
      <c r="M309" s="46">
        <f ca="1">IFERROR(__xludf.DUMMYFUNCTION("IMPORTRANGE(""https://docs.google.com/spreadsheets/d/1-uDff_7J0KD5mKrp0Vvzr7lt3OU09vwQwhkpOPPYv2Y/edit?usp=sharing"",""งบพรบ!ED83"")"),0)</f>
        <v>0</v>
      </c>
      <c r="N309" s="46">
        <f ca="1">IFERROR(__xludf.DUMMYFUNCTION("IMPORTRANGE(""https://docs.google.com/spreadsheets/d/1-uDff_7J0KD5mKrp0Vvzr7lt3OU09vwQwhkpOPPYv2Y/edit?usp=sharing"",""งบพรบ!EF83"")"),0)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IFERROR(__xludf.DUMMYFUNCTION("IMPORTRANGE(""https://docs.google.com/spreadsheets/d/1ItG2mGa2ceCfYo0BwxsXqNm01IGEUdYcSSLTEv9YCik/edit?usp=sharing"",""เบิกจ่ายกองทุน!AP83"")"),0)</f>
        <v>0</v>
      </c>
      <c r="R309" s="46">
        <f ca="1">IFERROR(__xludf.DUMMYFUNCTION("IMPORTRANGE(""https://docs.google.com/spreadsheets/d/1ItG2mGa2ceCfYo0BwxsXqNm01IGEUdYcSSLTEv9YCik/edit?usp=sharing"",""เบิกจ่ายกองทุน!AQ83"")"),0)</f>
        <v>0</v>
      </c>
      <c r="S309" s="46">
        <f ca="1">IFERROR(__xludf.DUMMYFUNCTION("IMPORTRANGE(""https://docs.google.com/spreadsheets/d/1ItG2mGa2ceCfYo0BwxsXqNm01IGEUdYcSSLTEv9YCik/edit?usp=sharing"",""เบิกจ่ายกองทุน!AR83"")"),0)</f>
        <v>0</v>
      </c>
      <c r="T309" s="46">
        <f t="shared" ca="1" si="195"/>
        <v>0</v>
      </c>
      <c r="U309" s="46">
        <f t="shared" ca="1" si="196"/>
        <v>0</v>
      </c>
    </row>
    <row r="310" spans="1:21" ht="18.75" hidden="1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IFERROR(__xludf.DUMMYFUNCTION("IMPORTRANGE(""https://docs.google.com/spreadsheets/d/1-uDff_7J0KD5mKrp0Vvzr7lt3OU09vwQwhkpOPPYv2Y/edit?usp=sharing"",""งบพรบ!EB83"")"),0)</f>
        <v>0</v>
      </c>
      <c r="M312" s="46">
        <f ca="1">IFERROR(__xludf.DUMMYFUNCTION("IMPORTRANGE(""https://docs.google.com/spreadsheets/d/1-uDff_7J0KD5mKrp0Vvzr7lt3OU09vwQwhkpOPPYv2Y/edit?usp=sharing"",""งบพรบ!EE83"")"),0)</f>
        <v>0</v>
      </c>
      <c r="N312" s="46">
        <f ca="1">IFERROR(__xludf.DUMMYFUNCTION("IMPORTRANGE(""https://docs.google.com/spreadsheets/d/1-uDff_7J0KD5mKrp0Vvzr7lt3OU09vwQwhkpOPPYv2Y/edit?usp=sharing"",""งบพรบ!EG83"")"),0)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hidden="1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hidden="1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IFERROR(__xludf.DUMMYFUNCTION("IMPORTRANGE(""https://docs.google.com/spreadsheets/d/1eHaY18a8A9IcSdp1K8H6x8fbOy06t2VsZHhMHf-1x7Y/edit?usp=sharing"",""แผน!EF83"")"),0)</f>
        <v>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0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0</v>
      </c>
      <c r="M321" s="132">
        <f t="shared" ca="1" si="204"/>
        <v>0</v>
      </c>
      <c r="N321" s="132">
        <f t="shared" ca="1" si="204"/>
        <v>0</v>
      </c>
      <c r="O321" s="132">
        <f t="shared" ref="O321:O329" ca="1" si="205">IF(L321&gt;0,N321*100/L321,0)</f>
        <v>0</v>
      </c>
      <c r="P321" s="132">
        <f t="shared" ref="P321:P329" ca="1" si="206">IF(M321&gt;0,N321*100/M321,0)</f>
        <v>0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0</v>
      </c>
      <c r="M323" s="46">
        <f t="shared" ca="1" si="210"/>
        <v>0</v>
      </c>
      <c r="N323" s="46">
        <f t="shared" ca="1" si="210"/>
        <v>0</v>
      </c>
      <c r="O323" s="46">
        <f t="shared" ca="1" si="205"/>
        <v>0</v>
      </c>
      <c r="P323" s="46">
        <f t="shared" ca="1" si="206"/>
        <v>0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0</v>
      </c>
      <c r="M324" s="46">
        <f t="shared" ca="1" si="212"/>
        <v>0</v>
      </c>
      <c r="N324" s="46">
        <f t="shared" ca="1" si="212"/>
        <v>0</v>
      </c>
      <c r="O324" s="46">
        <f t="shared" ca="1" si="205"/>
        <v>0</v>
      </c>
      <c r="P324" s="46">
        <f t="shared" ca="1" si="206"/>
        <v>0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IFERROR(__xludf.DUMMYFUNCTION("IMPORTRANGE(""https://docs.google.com/spreadsheets/d/1-uDff_7J0KD5mKrp0Vvzr7lt3OU09vwQwhkpOPPYv2Y/edit?usp=sharing"",""งบพรบ!EI83"")"),0)</f>
        <v>0</v>
      </c>
      <c r="M326" s="46">
        <f ca="1">IFERROR(__xludf.DUMMYFUNCTION("IMPORTRANGE(""https://docs.google.com/spreadsheets/d/1-uDff_7J0KD5mKrp0Vvzr7lt3OU09vwQwhkpOPPYv2Y/edit?usp=sharing"",""งบพรบ!EN83"")"),0)</f>
        <v>0</v>
      </c>
      <c r="N326" s="46">
        <f ca="1">IFERROR(__xludf.DUMMYFUNCTION("IMPORTRANGE(""https://docs.google.com/spreadsheets/d/1-uDff_7J0KD5mKrp0Vvzr7lt3OU09vwQwhkpOPPYv2Y/edit?usp=sharing"",""งบพรบ!EP83"")"),0)</f>
        <v>0</v>
      </c>
      <c r="O326" s="46">
        <f t="shared" ca="1" si="205"/>
        <v>0</v>
      </c>
      <c r="P326" s="46">
        <f t="shared" ca="1" si="206"/>
        <v>0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IFERROR(__xludf.DUMMYFUNCTION("IMPORTRANGE(""https://docs.google.com/spreadsheets/d/1-uDff_7J0KD5mKrp0Vvzr7lt3OU09vwQwhkpOPPYv2Y/edit?usp=sharing"",""งบพรบ!EL83"")"),0)</f>
        <v>0</v>
      </c>
      <c r="M329" s="46">
        <f ca="1">IFERROR(__xludf.DUMMYFUNCTION("IMPORTRANGE(""https://docs.google.com/spreadsheets/d/1-uDff_7J0KD5mKrp0Vvzr7lt3OU09vwQwhkpOPPYv2Y/edit?usp=sharing"",""งบพรบ!EO83"")"),0)</f>
        <v>0</v>
      </c>
      <c r="N329" s="46">
        <f ca="1">IFERROR(__xludf.DUMMYFUNCTION("IMPORTRANGE(""https://docs.google.com/spreadsheets/d/1-uDff_7J0KD5mKrp0Vvzr7lt3OU09vwQwhkpOPPYv2Y/edit?usp=sharing"",""งบพรบ!EQ83"")"),0)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IFERROR(__xludf.DUMMYFUNCTION("IMPORTRANGE(""https://docs.google.com/spreadsheets/d/1eHaY18a8A9IcSdp1K8H6x8fbOy06t2VsZHhMHf-1x7Y/edit?usp=sharing"",""แผน!EJ83"")"),0)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120</v>
      </c>
      <c r="J333" s="665">
        <f ca="1">J345+J348+J349+J350+J354</f>
        <v>367</v>
      </c>
      <c r="K333" s="666">
        <f ca="1">IF(I333&gt;0,J333*100/I333,0)</f>
        <v>305.83333333333331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216600</v>
      </c>
      <c r="M334" s="132">
        <f t="shared" ca="1" si="216"/>
        <v>221600</v>
      </c>
      <c r="N334" s="132">
        <f t="shared" ca="1" si="216"/>
        <v>143639</v>
      </c>
      <c r="O334" s="132">
        <f t="shared" ref="O334:O342" ca="1" si="217">IF(L334&gt;0,N334*100/L334,0)</f>
        <v>66.315327793167128</v>
      </c>
      <c r="P334" s="132">
        <f t="shared" ref="P334:P342" ca="1" si="218">IF(M334&gt;0,N334*100/M334,0)</f>
        <v>64.819043321299645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216600</v>
      </c>
      <c r="M336" s="46">
        <f t="shared" ca="1" si="222"/>
        <v>221600</v>
      </c>
      <c r="N336" s="46">
        <f t="shared" ca="1" si="222"/>
        <v>143639</v>
      </c>
      <c r="O336" s="46">
        <f t="shared" ca="1" si="217"/>
        <v>66.315327793167128</v>
      </c>
      <c r="P336" s="46">
        <f t="shared" ca="1" si="218"/>
        <v>64.819043321299645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216600</v>
      </c>
      <c r="M337" s="46">
        <f t="shared" ca="1" si="224"/>
        <v>221600</v>
      </c>
      <c r="N337" s="46">
        <f t="shared" ca="1" si="224"/>
        <v>143639</v>
      </c>
      <c r="O337" s="46">
        <f t="shared" ca="1" si="217"/>
        <v>66.315327793167128</v>
      </c>
      <c r="P337" s="46">
        <f t="shared" ca="1" si="218"/>
        <v>64.819043321299645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IFERROR(__xludf.DUMMYFUNCTION("IMPORTRANGE(""https://docs.google.com/spreadsheets/d/1-uDff_7J0KD5mKrp0Vvzr7lt3OU09vwQwhkpOPPYv2Y/edit?usp=sharing"",""งบพรบ!ES83"")"),216600)</f>
        <v>216600</v>
      </c>
      <c r="M339" s="46">
        <f ca="1">IFERROR(__xludf.DUMMYFUNCTION("IMPORTRANGE(""https://docs.google.com/spreadsheets/d/1-uDff_7J0KD5mKrp0Vvzr7lt3OU09vwQwhkpOPPYv2Y/edit?usp=sharing"",""งบพรบ!EX83"")"),221600)</f>
        <v>221600</v>
      </c>
      <c r="N339" s="46">
        <f ca="1">IFERROR(__xludf.DUMMYFUNCTION("IMPORTRANGE(""https://docs.google.com/spreadsheets/d/1-uDff_7J0KD5mKrp0Vvzr7lt3OU09vwQwhkpOPPYv2Y/edit?usp=sharing"",""งบพรบ!EZ83"")"),143639)</f>
        <v>143639</v>
      </c>
      <c r="O339" s="46">
        <f t="shared" ca="1" si="217"/>
        <v>66.315327793167128</v>
      </c>
      <c r="P339" s="46">
        <f t="shared" ca="1" si="218"/>
        <v>64.819043321299645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IFERROR(__xludf.DUMMYFUNCTION("IMPORTRANGE(""https://docs.google.com/spreadsheets/d/1-uDff_7J0KD5mKrp0Vvzr7lt3OU09vwQwhkpOPPYv2Y/edit?usp=sharing"",""งบพรบ!EV83"")"),0)</f>
        <v>0</v>
      </c>
      <c r="M342" s="46">
        <f ca="1">IFERROR(__xludf.DUMMYFUNCTION("IMPORTRANGE(""https://docs.google.com/spreadsheets/d/1-uDff_7J0KD5mKrp0Vvzr7lt3OU09vwQwhkpOPPYv2Y/edit?usp=sharing"",""งบพรบ!EY83"")"),0)</f>
        <v>0</v>
      </c>
      <c r="N342" s="46">
        <f ca="1">IFERROR(__xludf.DUMMYFUNCTION("IMPORTRANGE(""https://docs.google.com/spreadsheets/d/1-uDff_7J0KD5mKrp0Vvzr7lt3OU09vwQwhkpOPPYv2Y/edit?usp=sharing"",""งบพรบ!FA83"")"),0)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145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IFERROR(__xludf.DUMMYFUNCTION("IMPORTRANGE(""https://docs.google.com/spreadsheets/d/1eHaY18a8A9IcSdp1K8H6x8fbOy06t2VsZHhMHf-1x7Y/edit?usp=sharing"",""แผน!EK83"")"),120)</f>
        <v>120</v>
      </c>
      <c r="J345" s="152">
        <f ca="1">IFERROR(__xludf.DUMMYFUNCTION("IMPORTRANGE(""https://docs.google.com/spreadsheets/d/1awYsYK3VOup2i3Pq_Yjnu8DRu_mYwSBnCR2QPthd0rU/edit?usp=sharing"",""ศูนย์ยกเว้นโฉนด!D83"")"),145)</f>
        <v>145</v>
      </c>
      <c r="K345" s="46">
        <f ca="1">IF(I345&gt;0,J345*100/I345,0)</f>
        <v>120.83333333333333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IFERROR(__xludf.DUMMYFUNCTION("IMPORTRANGE(""https://docs.google.com/spreadsheets/d/1eHaY18a8A9IcSdp1K8H6x8fbOy06t2VsZHhMHf-1x7Y/edit?usp=sharing"",""แผน!EL83"")"),1)</f>
        <v>1</v>
      </c>
      <c r="J347" s="152">
        <f ca="1">IFERROR(__xludf.DUMMYFUNCTION("IMPORTRANGE(""https://docs.google.com/spreadsheets/d/1awYsYK3VOup2i3Pq_Yjnu8DRu_mYwSBnCR2QPthd0rU/edit?usp=sharing"",""ศูนย์รวม!E83"")"),0)</f>
        <v>0</v>
      </c>
      <c r="K347" s="46">
        <f ca="1">IF(I347&gt;0,J347*100/I347,0)</f>
        <v>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IFERROR(__xludf.DUMMYFUNCTION("IMPORTRANGE(""https://docs.google.com/spreadsheets/d/1awYsYK3VOup2i3Pq_Yjnu8DRu_mYwSBnCR2QPthd0rU/edit?usp=sharing"",""ศูนย์ยกเว้นโฉนด!F83"")"),0)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243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IFERROR(__xludf.DUMMYFUNCTION("IMPORTRANGE(""https://docs.google.com/spreadsheets/d/1awYsYK3VOup2i3Pq_Yjnu8DRu_mYwSBnCR2QPthd0rU/edit?usp=sharing"",""โฉนดM3!G83"")"),21)</f>
        <v>21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IFERROR(__xludf.DUMMYFUNCTION("IMPORTRANGE(""https://docs.google.com/spreadsheets/d/1awYsYK3VOup2i3Pq_Yjnu8DRu_mYwSBnCR2QPthd0rU/edit?usp=sharing"",""โฉนดM3!H83"")"),222)</f>
        <v>222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225445</v>
      </c>
      <c r="M357" s="132">
        <f t="shared" ca="1" si="228"/>
        <v>225445</v>
      </c>
      <c r="N357" s="132">
        <f t="shared" ca="1" si="228"/>
        <v>142240</v>
      </c>
      <c r="O357" s="132">
        <f t="shared" ref="O357:O365" ca="1" si="229">IF(L357&gt;0,N357*100/L357,0)</f>
        <v>63.092993856594738</v>
      </c>
      <c r="P357" s="132">
        <f t="shared" ref="P357:P365" ca="1" si="230">IF(M357&gt;0,N357*100/M357,0)</f>
        <v>63.092993856594738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225445</v>
      </c>
      <c r="M359" s="46">
        <f t="shared" ca="1" si="234"/>
        <v>225445</v>
      </c>
      <c r="N359" s="46">
        <f t="shared" ca="1" si="234"/>
        <v>142240</v>
      </c>
      <c r="O359" s="46">
        <f t="shared" ca="1" si="229"/>
        <v>63.092993856594738</v>
      </c>
      <c r="P359" s="46">
        <f t="shared" ca="1" si="230"/>
        <v>63.092993856594738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225445</v>
      </c>
      <c r="M360" s="46">
        <f t="shared" ca="1" si="236"/>
        <v>225445</v>
      </c>
      <c r="N360" s="46">
        <f t="shared" ca="1" si="236"/>
        <v>142240</v>
      </c>
      <c r="O360" s="46">
        <f t="shared" ca="1" si="229"/>
        <v>63.092993856594738</v>
      </c>
      <c r="P360" s="46">
        <f t="shared" ca="1" si="230"/>
        <v>63.092993856594738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IFERROR(__xludf.DUMMYFUNCTION("IMPORTRANGE(""https://docs.google.com/spreadsheets/d/1-uDff_7J0KD5mKrp0Vvzr7lt3OU09vwQwhkpOPPYv2Y/edit?usp=sharing"",""งบพรบ!FC83"")"),225445)</f>
        <v>225445</v>
      </c>
      <c r="M362" s="46">
        <f ca="1">IFERROR(__xludf.DUMMYFUNCTION("IMPORTRANGE(""https://docs.google.com/spreadsheets/d/1-uDff_7J0KD5mKrp0Vvzr7lt3OU09vwQwhkpOPPYv2Y/edit?usp=sharing"",""งบพรบ!FH83"")"),225445)</f>
        <v>225445</v>
      </c>
      <c r="N362" s="46">
        <f ca="1">IFERROR(__xludf.DUMMYFUNCTION("IMPORTRANGE(""https://docs.google.com/spreadsheets/d/1-uDff_7J0KD5mKrp0Vvzr7lt3OU09vwQwhkpOPPYv2Y/edit?usp=sharing"",""งบพรบ!FJ83"")"),142240)</f>
        <v>142240</v>
      </c>
      <c r="O362" s="46">
        <f t="shared" ca="1" si="229"/>
        <v>63.092993856594738</v>
      </c>
      <c r="P362" s="46">
        <f t="shared" ca="1" si="230"/>
        <v>63.092993856594738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IFERROR(__xludf.DUMMYFUNCTION("IMPORTRANGE(""https://docs.google.com/spreadsheets/d/1-uDff_7J0KD5mKrp0Vvzr7lt3OU09vwQwhkpOPPYv2Y/edit?usp=sharing"",""งบพรบ!FF83"")"),0)</f>
        <v>0</v>
      </c>
      <c r="M365" s="46">
        <f ca="1">IFERROR(__xludf.DUMMYFUNCTION("IMPORTRANGE(""https://docs.google.com/spreadsheets/d/1-uDff_7J0KD5mKrp0Vvzr7lt3OU09vwQwhkpOPPYv2Y/edit?usp=sharing"",""งบพรบ!FI83"")"),0)</f>
        <v>0</v>
      </c>
      <c r="N365" s="46">
        <f ca="1">IFERROR(__xludf.DUMMYFUNCTION("IMPORTRANGE(""https://docs.google.com/spreadsheets/d/1-uDff_7J0KD5mKrp0Vvzr7lt3OU09vwQwhkpOPPYv2Y/edit?usp=sharing"",""งบพรบ!FK83"")"),0)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26</v>
      </c>
      <c r="J366" s="235">
        <f t="shared" ca="1" si="240"/>
        <v>32</v>
      </c>
      <c r="K366" s="236">
        <f ca="1">IF(I366&gt;0,J366*100/I366,0)</f>
        <v>123.07692307692308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IFERROR(__xludf.DUMMYFUNCTION("IMPORTRANGE(""https://docs.google.com/spreadsheets/d/1tdoBKaGub7dwA3U6UFTqxio9LNnvDCQjHKmttSEBsFQ/edit?usp=sharing"",""จัดที่ดิน!AB83"")"),21)</f>
        <v>21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IFERROR(__xludf.DUMMYFUNCTION("IMPORTRANGE(""https://docs.google.com/spreadsheets/d/1eHaY18a8A9IcSdp1K8H6x8fbOy06t2VsZHhMHf-1x7Y/edit?usp=sharing"",""แผน!EW83"")"),170)</f>
        <v>170</v>
      </c>
      <c r="J369" s="676">
        <f ca="1">IFERROR(__xludf.DUMMYFUNCTION("IMPORTRANGE(""https://docs.google.com/spreadsheets/d/1tdoBKaGub7dwA3U6UFTqxio9LNnvDCQjHKmttSEBsFQ/edit?usp=sharing"",""จัดที่ดิน!AC83"")"),76.5)</f>
        <v>76.5</v>
      </c>
      <c r="K369" s="46">
        <f t="shared" ca="1" si="241"/>
        <v>45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IFERROR(__xludf.DUMMYFUNCTION("IMPORTRANGE(""https://docs.google.com/spreadsheets/d/1eHaY18a8A9IcSdp1K8H6x8fbOy06t2VsZHhMHf-1x7Y/edit?usp=sharing"",""แผน!EX83"")"),31)</f>
        <v>31</v>
      </c>
      <c r="J370" s="152">
        <f ca="1">IFERROR(__xludf.DUMMYFUNCTION("IMPORTRANGE(""https://docs.google.com/spreadsheets/d/1tdoBKaGub7dwA3U6UFTqxio9LNnvDCQjHKmttSEBsFQ/edit?usp=sharing"",""จัดที่ดิน!AD83"")"),32)</f>
        <v>32</v>
      </c>
      <c r="K370" s="46">
        <f t="shared" ca="1" si="241"/>
        <v>103.2258064516129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IFERROR(__xludf.DUMMYFUNCTION("IMPORTRANGE(""https://docs.google.com/spreadsheets/d/1tdoBKaGub7dwA3U6UFTqxio9LNnvDCQjHKmttSEBsFQ/edit?usp=sharing"",""จัดที่ดิน!AE83"")"),185.37)</f>
        <v>185.37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IFERROR(__xludf.DUMMYFUNCTION("IMPORTRANGE(""https://docs.google.com/spreadsheets/d/1eHaY18a8A9IcSdp1K8H6x8fbOy06t2VsZHhMHf-1x7Y/edit?usp=sharing"",""แผน!EY83"")"),26)</f>
        <v>26</v>
      </c>
      <c r="J372" s="152">
        <f ca="1">IFERROR(__xludf.DUMMYFUNCTION("IMPORTRANGE(""https://docs.google.com/spreadsheets/d/1tdoBKaGub7dwA3U6UFTqxio9LNnvDCQjHKmttSEBsFQ/edit?usp=sharing"",""จัดที่ดิน!AF83"")"),32)</f>
        <v>32</v>
      </c>
      <c r="K372" s="46">
        <f t="shared" ca="1" si="241"/>
        <v>123.07692307692308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IFERROR(__xludf.DUMMYFUNCTION("IMPORTRANGE(""https://docs.google.com/spreadsheets/d/1tdoBKaGub7dwA3U6UFTqxio9LNnvDCQjHKmttSEBsFQ/edit?usp=sharing"",""จัดที่ดิน!AG83"")"),185.37)</f>
        <v>185.37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200</v>
      </c>
      <c r="J375" s="684">
        <f t="shared" ca="1" si="242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12500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12500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12500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IFERROR(__xludf.DUMMYFUNCTION("IMPORTRANGE(""https://docs.google.com/spreadsheets/d/1ItG2mGa2ceCfYo0BwxsXqNm01IGEUdYcSSLTEv9YCik/edit?usp=sharing"",""เบิกจ่ายกองทุน!AY83"")"),12500)</f>
        <v>12500</v>
      </c>
      <c r="R381" s="46">
        <f ca="1">IFERROR(__xludf.DUMMYFUNCTION("IMPORTRANGE(""https://docs.google.com/spreadsheets/d/1ItG2mGa2ceCfYo0BwxsXqNm01IGEUdYcSSLTEv9YCik/edit?usp=sharing"",""เบิกจ่ายกองทุน!AZ83"")"),0)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IFERROR(__xludf.DUMMYFUNCTION("IMPORTRANGE(""https://docs.google.com/spreadsheets/d/1ItG2mGa2ceCfYo0BwxsXqNm01IGEUdYcSSLTEv9YCik/edit?usp=sharing"",""เบิกจ่ายกองทุน!BA83"")"),0)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IFERROR(__xludf.DUMMYFUNCTION("IMPORTRANGE(""https://docs.google.com/spreadsheets/d/1w5rwWK1o49a35cNtocGL0gxDwhFSTZUQu90BiH9_zqM/edit?usp=sharing"",""RTK!H83"")"),0)</f>
        <v>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IFERROR(__xludf.DUMMYFUNCTION("IMPORTRANGE(""https://docs.google.com/spreadsheets/d/1w5rwWK1o49a35cNtocGL0gxDwhFSTZUQu90BiH9_zqM/edit?usp=sharing"",""RTK!G83"")"),200)</f>
        <v>200</v>
      </c>
      <c r="J387" s="152">
        <f ca="1">IFERROR(__xludf.DUMMYFUNCTION("IMPORTRANGE(""https://docs.google.com/spreadsheets/d/1w5rwWK1o49a35cNtocGL0gxDwhFSTZUQu90BiH9_zqM/edit?usp=sharing"",""RTK!I83"")"),0)</f>
        <v>0</v>
      </c>
      <c r="K387" s="46">
        <f t="shared" ca="1" si="255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IFERROR(__xludf.DUMMYFUNCTION("IMPORTRANGE(""https://docs.google.com/spreadsheets/d/1w5rwWK1o49a35cNtocGL0gxDwhFSTZUQu90BiH9_zqM/edit?usp=sharing"",""RTK!L83"")"),0)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IFERROR(__xludf.DUMMYFUNCTION("IMPORTRANGE(""https://docs.google.com/spreadsheets/d/1w5rwWK1o49a35cNtocGL0gxDwhFSTZUQu90BiH9_zqM/edit?usp=sharing"",""RTK!K83"")"),0)</f>
        <v>0</v>
      </c>
      <c r="J389" s="691">
        <f ca="1">IFERROR(__xludf.DUMMYFUNCTION("IMPORTRANGE(""https://docs.google.com/spreadsheets/d/1w5rwWK1o49a35cNtocGL0gxDwhFSTZUQu90BiH9_zqM/edit?usp=sharing"",""RTK!M83"")"),0)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IFERROR(__xludf.DUMMYFUNCTION("IMPORTRANGE(""https://docs.google.com/spreadsheets/d/1ItG2mGa2ceCfYo0BwxsXqNm01IGEUdYcSSLTEv9YCik/edit?usp=sharing"",""เบิกจ่ายกองทุน!BH83"")"),0)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IFERROR(__xludf.DUMMYFUNCTION("IMPORTRANGE(""https://docs.google.com/spreadsheets/d/1ItG2mGa2ceCfYo0BwxsXqNm01IGEUdYcSSLTEv9YCik/edit?usp=sharing"",""เบิกจ่ายกองทุน!BI83"")"),0)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IFERROR(__xludf.DUMMYFUNCTION("IMPORTRANGE(""https://docs.google.com/spreadsheets/d/1ItG2mGa2ceCfYo0BwxsXqNm01IGEUdYcSSLTEv9YCik/edit?usp=sharing"",""เบิกจ่ายกองทุน!BJ83"")"),0)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IFERROR(__xludf.DUMMYFUNCTION("IMPORTRANGE(""https://docs.google.com/spreadsheets/d/1eHaY18a8A9IcSdp1K8H6x8fbOy06t2VsZHhMHf-1x7Y/edit?usp=sharing"",""แผน!HJ83"")"),0)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IFERROR(__xludf.DUMMYFUNCTION("IMPORTRANGE(""https://docs.google.com/spreadsheets/d/1eHaY18a8A9IcSdp1K8H6x8fbOy06t2VsZHhMHf-1x7Y/edit?usp=sharing"",""แผน!HK83"")"),0)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IFERROR(__xludf.DUMMYFUNCTION("IMPORTRANGE(""https://docs.google.com/spreadsheets/d/1eHaY18a8A9IcSdp1K8H6x8fbOy06t2VsZHhMHf-1x7Y/edit?usp=sharing"",""แผน!HJ83"")"),0)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IFERROR(__xludf.DUMMYFUNCTION("IMPORTRANGE(""https://docs.google.com/spreadsheets/d/1eHaY18a8A9IcSdp1K8H6x8fbOy06t2VsZHhMHf-1x7Y/edit?usp=sharing"",""แผน!HK83"")"),0)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IFERROR(__xludf.DUMMYFUNCTION("IMPORTRANGE(""https://docs.google.com/spreadsheets/d/1eHaY18a8A9IcSdp1K8H6x8fbOy06t2VsZHhMHf-1x7Y/edit?usp=sharing"",""แผน!HJ83"")"),0)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IFERROR(__xludf.DUMMYFUNCTION("IMPORTRANGE(""https://docs.google.com/spreadsheets/d/1eHaY18a8A9IcSdp1K8H6x8fbOy06t2VsZHhMHf-1x7Y/edit?usp=sharing"",""แผน!HK83"")"),0)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IFERROR(__xludf.DUMMYFUNCTION("IMPORTRANGE(""https://docs.google.com/spreadsheets/d/1eHaY18a8A9IcSdp1K8H6x8fbOy06t2VsZHhMHf-1x7Y/edit?usp=sharing"",""แผน!HL83"")"),0)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IFERROR(__xludf.DUMMYFUNCTION("IMPORTRANGE(""https://docs.google.com/spreadsheets/d/1eHaY18a8A9IcSdp1K8H6x8fbOy06t2VsZHhMHf-1x7Y/edit?usp=sharing"",""แผน!HM83"")"),0)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IFERROR(__xludf.DUMMYFUNCTION("IMPORTRANGE(""https://docs.google.com/spreadsheets/d/1eHaY18a8A9IcSdp1K8H6x8fbOy06t2VsZHhMHf-1x7Y/edit?usp=sharing"",""แผน!HN83"")"),0)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IFERROR(__xludf.DUMMYFUNCTION("IMPORTRANGE(""https://docs.google.com/spreadsheets/d/1eHaY18a8A9IcSdp1K8H6x8fbOy06t2VsZHhMHf-1x7Y/edit?usp=sharing"",""แผน!HO83"")"),0)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0</v>
      </c>
      <c r="R494" s="132">
        <f t="shared" ca="1" si="304"/>
        <v>0</v>
      </c>
      <c r="S494" s="132">
        <f t="shared" ca="1" si="304"/>
        <v>0</v>
      </c>
      <c r="T494" s="132">
        <f t="shared" ref="T494:T502" ca="1" si="305">IF(Q494&gt;0,S494*100/Q494,0)</f>
        <v>0</v>
      </c>
      <c r="U494" s="132">
        <f t="shared" ref="U494:U502" ca="1" si="306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0</v>
      </c>
      <c r="R496" s="46">
        <f t="shared" ca="1" si="308"/>
        <v>0</v>
      </c>
      <c r="S496" s="46">
        <f t="shared" ca="1" si="308"/>
        <v>0</v>
      </c>
      <c r="T496" s="46">
        <f t="shared" ca="1" si="305"/>
        <v>0</v>
      </c>
      <c r="U496" s="46">
        <f t="shared" ca="1" si="306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0</v>
      </c>
      <c r="R497" s="46">
        <f t="shared" ca="1" si="310"/>
        <v>0</v>
      </c>
      <c r="S497" s="46">
        <f t="shared" ca="1" si="310"/>
        <v>0</v>
      </c>
      <c r="T497" s="46">
        <f t="shared" ca="1" si="305"/>
        <v>0</v>
      </c>
      <c r="U497" s="46">
        <f t="shared" ca="1" si="306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IFERROR(__xludf.DUMMYFUNCTION("IMPORTRANGE(""https://docs.google.com/spreadsheets/d/1ItG2mGa2ceCfYo0BwxsXqNm01IGEUdYcSSLTEv9YCik/edit?usp=sharing"",""เบิกจ่ายกองทุน!X83"")"),0)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IFERROR(__xludf.DUMMYFUNCTION("IMPORTRANGE(""https://docs.google.com/spreadsheets/d/1ItG2mGa2ceCfYo0BwxsXqNm01IGEUdYcSSLTEv9YCik/edit?usp=sharing"",""เบิกจ่ายกองทุน!Y83"")"),0)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IFERROR(__xludf.DUMMYFUNCTION("IMPORTRANGE(""https://docs.google.com/spreadsheets/d/1ItG2mGa2ceCfYo0BwxsXqNm01IGEUdYcSSLTEv9YCik/edit?usp=sharing"",""เบิกจ่ายกองทุน!Z83"")"),0)</f>
        <v>0</v>
      </c>
      <c r="T499" s="46">
        <f t="shared" ca="1" si="305"/>
        <v>0</v>
      </c>
      <c r="U499" s="46">
        <f t="shared" ca="1" si="306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IFERROR(__xludf.DUMMYFUNCTION("IMPORTRANGE(""https://docs.google.com/spreadsheets/d/1eHaY18a8A9IcSdp1K8H6x8fbOy06t2VsZHhMHf-1x7Y/edit?usp=sharing"",""แผน!GX83"")"),0)</f>
        <v>0</v>
      </c>
      <c r="J504" s="147">
        <f ca="1">IF(AND(J505=I505,J506=I506,J507=I507,J508=I508),I504,0)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IFERROR(__xludf.DUMMYFUNCTION("IMPORTRANGE(""https://docs.google.com/spreadsheets/d/1eHaY18a8A9IcSdp1K8H6x8fbOy06t2VsZHhMHf-1x7Y/edit?usp=sharing"",""แผน!GY83"")"),0)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IFERROR(__xludf.DUMMYFUNCTION("IMPORTRANGE(""https://docs.google.com/spreadsheets/d/1eHaY18a8A9IcSdp1K8H6x8fbOy06t2VsZHhMHf-1x7Y/edit?usp=sharing"",""แผน!GZ83"")"),0)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IFERROR(__xludf.DUMMYFUNCTION("IMPORTRANGE(""https://docs.google.com/spreadsheets/d/1eHaY18a8A9IcSdp1K8H6x8fbOy06t2VsZHhMHf-1x7Y/edit?usp=sharing"",""แผน!HA83"")"),0)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IFERROR(__xludf.DUMMYFUNCTION("IMPORTRANGE(""https://docs.google.com/spreadsheets/d/1eHaY18a8A9IcSdp1K8H6x8fbOy06t2VsZHhMHf-1x7Y/edit?usp=sharing"",""แผน!HB83"")"),0)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IFERROR(__xludf.DUMMYFUNCTION("IMPORTRANGE(""https://docs.google.com/spreadsheets/d/1eHaY18a8A9IcSdp1K8H6x8fbOy06t2VsZHhMHf-1x7Y/edit?usp=sharing"",""แผน!HC83"")"),0)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4">I525</f>
        <v>0</v>
      </c>
      <c r="J513" s="766">
        <f t="shared" si="314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5">L515+L516</f>
        <v>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1"/>
        <v>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IFERROR(__xludf.DUMMYFUNCTION("IMPORTRANGE(""https://docs.google.com/spreadsheets/d/1-uDff_7J0KD5mKrp0Vvzr7lt3OU09vwQwhkpOPPYv2Y/edit?usp=sharing"",""งบพรบ!FM83"")"),0)</f>
        <v>0</v>
      </c>
      <c r="M519" s="46">
        <f ca="1">IFERROR(__xludf.DUMMYFUNCTION("IMPORTRANGE(""https://docs.google.com/spreadsheets/d/1-uDff_7J0KD5mKrp0Vvzr7lt3OU09vwQwhkpOPPYv2Y/edit?usp=sharing"",""งบพรบ!FR83"")"),0)</f>
        <v>0</v>
      </c>
      <c r="N519" s="46">
        <f ca="1">IFERROR(__xludf.DUMMYFUNCTION("IMPORTRANGE(""https://docs.google.com/spreadsheets/d/1-uDff_7J0KD5mKrp0Vvzr7lt3OU09vwQwhkpOPPYv2Y/edit?usp=sharing"",""งบพรบ!FT83"")"),0)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5">L521+L522</f>
        <v>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IFERROR(__xludf.DUMMYFUNCTION("IMPORTRANGE(""https://docs.google.com/spreadsheets/d/1-uDff_7J0KD5mKrp0Vvzr7lt3OU09vwQwhkpOPPYv2Y/edit?usp=sharing"",""งบพรบ!FP83"")"),0)</f>
        <v>0</v>
      </c>
      <c r="M522" s="46">
        <f ca="1">IFERROR(__xludf.DUMMYFUNCTION("IMPORTRANGE(""https://docs.google.com/spreadsheets/d/1-uDff_7J0KD5mKrp0Vvzr7lt3OU09vwQwhkpOPPYv2Y/edit?usp=sharing"",""งบพรบ!FS83"")"),0)</f>
        <v>0</v>
      </c>
      <c r="N522" s="46">
        <f ca="1">IFERROR(__xludf.DUMMYFUNCTION("IMPORTRANGE(""https://docs.google.com/spreadsheets/d/1-uDff_7J0KD5mKrp0Vvzr7lt3OU09vwQwhkpOPPYv2Y/edit?usp=sharing"",""งบพรบ!FU83"")"),0)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1675</v>
      </c>
      <c r="R617" s="132">
        <f t="shared" ca="1" si="383"/>
        <v>1675</v>
      </c>
      <c r="S617" s="132">
        <f t="shared" ca="1" si="383"/>
        <v>0</v>
      </c>
      <c r="T617" s="132">
        <f t="shared" ref="T617:T625" ca="1" si="384">IF(Q617&gt;0,S617*100/Q617,0)</f>
        <v>0</v>
      </c>
      <c r="U617" s="132">
        <f t="shared" ref="U617:U625" ca="1" si="385">IF(R617&gt;0,S617*100/R617,0)</f>
        <v>0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1675</v>
      </c>
      <c r="R619" s="46">
        <f t="shared" ca="1" si="387"/>
        <v>1675</v>
      </c>
      <c r="S619" s="46">
        <f t="shared" ca="1" si="387"/>
        <v>0</v>
      </c>
      <c r="T619" s="46">
        <f t="shared" ca="1" si="384"/>
        <v>0</v>
      </c>
      <c r="U619" s="46">
        <f t="shared" ca="1" si="385"/>
        <v>0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1675</v>
      </c>
      <c r="R620" s="46">
        <f t="shared" ca="1" si="389"/>
        <v>1675</v>
      </c>
      <c r="S620" s="46">
        <f t="shared" ca="1" si="389"/>
        <v>0</v>
      </c>
      <c r="T620" s="46">
        <f t="shared" ca="1" si="384"/>
        <v>0</v>
      </c>
      <c r="U620" s="46">
        <f t="shared" ca="1" si="385"/>
        <v>0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IFERROR(__xludf.DUMMYFUNCTION("IMPORTRANGE(""https://docs.google.com/spreadsheets/d/1ItG2mGa2ceCfYo0BwxsXqNm01IGEUdYcSSLTEv9YCik/edit?usp=sharing"",""เบิกจ่ายกองทุน!F83"")"),1675)</f>
        <v>1675</v>
      </c>
      <c r="R622" s="46">
        <f ca="1">IFERROR(__xludf.DUMMYFUNCTION("IMPORTRANGE(""https://docs.google.com/spreadsheets/d/1ItG2mGa2ceCfYo0BwxsXqNm01IGEUdYcSSLTEv9YCik/edit?usp=sharing"",""เบิกจ่ายกองทุน!G83"")"),1675)</f>
        <v>1675</v>
      </c>
      <c r="S622" s="46">
        <f ca="1">IFERROR(__xludf.DUMMYFUNCTION("IMPORTRANGE(""https://docs.google.com/spreadsheets/d/1ItG2mGa2ceCfYo0BwxsXqNm01IGEUdYcSSLTEv9YCik/edit?usp=sharing"",""เบิกจ่ายกองทุน!H83"")"),0)</f>
        <v>0</v>
      </c>
      <c r="T622" s="46">
        <f t="shared" ca="1" si="384"/>
        <v>0</v>
      </c>
      <c r="U622" s="46">
        <f t="shared" ca="1" si="385"/>
        <v>0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IFERROR(__xludf.DUMMYFUNCTION("IMPORTRANGE(""https://docs.google.com/spreadsheets/d/1eHaY18a8A9IcSdp1K8H6x8fbOy06t2VsZHhMHf-1x7Y/edit?usp=sharing"",""แผน!ID83"")"),0)</f>
        <v>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8">
        <v>0</v>
      </c>
      <c r="K628" s="46">
        <f t="shared" ref="K628:K629" ca="1" si="392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IFERROR(__xludf.DUMMYFUNCTION("IMPORTRANGE(""https://docs.google.com/spreadsheets/d/1eHaY18a8A9IcSdp1K8H6x8fbOy06t2VsZHhMHf-1x7Y/edit?usp=sharing"",""แผน!IC83"")"),1)</f>
        <v>1</v>
      </c>
      <c r="J629" s="168">
        <v>0</v>
      </c>
      <c r="K629" s="46">
        <f t="shared" ca="1" si="392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IFERROR(__xludf.DUMMYFUNCTION("IMPORTRANGE(""https://docs.google.com/spreadsheets/d/1eHaY18a8A9IcSdp1K8H6x8fbOy06t2VsZHhMHf-1x7Y/edit?usp=sharing"",""แผน!IE83"")"),0)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0</v>
      </c>
      <c r="R643" s="132">
        <f t="shared" ca="1" si="397"/>
        <v>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0</v>
      </c>
      <c r="R645" s="46">
        <f t="shared" ca="1" si="401"/>
        <v>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0</v>
      </c>
      <c r="R646" s="46">
        <f t="shared" ca="1" si="403"/>
        <v>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IFERROR(__xludf.DUMMYFUNCTION("IMPORTRANGE(""https://docs.google.com/spreadsheets/d/1ItG2mGa2ceCfYo0BwxsXqNm01IGEUdYcSSLTEv9YCik/edit?usp=sharing"",""เบิกจ่ายกองทุน!I83"")"),0)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IFERROR(__xludf.DUMMYFUNCTION("IMPORTRANGE(""https://docs.google.com/spreadsheets/d/1ItG2mGa2ceCfYo0BwxsXqNm01IGEUdYcSSLTEv9YCik/edit?usp=sharing"",""เบิกจ่ายกองทุน!J83"")"),0)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IFERROR(__xludf.DUMMYFUNCTION("IMPORTRANGE(""https://docs.google.com/spreadsheets/d/1ItG2mGa2ceCfYo0BwxsXqNm01IGEUdYcSSLTEv9YCik/edit?usp=sharing"",""เบิกจ่ายกองทุน!K83"")"),0)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IFERROR(__xludf.DUMMYFUNCTION("IMPORTRANGE(""https://docs.google.com/spreadsheets/d/1eHaY18a8A9IcSdp1K8H6x8fbOy06t2VsZHhMHf-1x7Y/edit?usp=sharing"",""แผน!IF83"")"),0)</f>
        <v>0</v>
      </c>
      <c r="J653" s="152">
        <f ca="1">IFERROR(__xludf.DUMMYFUNCTION("IMPORTRANGE(""https://docs.google.com/spreadsheets/d/1tdoBKaGub7dwA3U6UFTqxio9LNnvDCQjHKmttSEBsFQ/edit?usp=sharing"",""จัดที่ดิน!AU83"")"),0)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IFERROR(__xludf.DUMMYFUNCTION("IMPORTRANGE(""https://docs.google.com/spreadsheets/d/1eHaY18a8A9IcSdp1K8H6x8fbOy06t2VsZHhMHf-1x7Y/edit?usp=sharing"",""แผน!IG83"")"),0)</f>
        <v>0</v>
      </c>
      <c r="J654" s="152">
        <f ca="1">IFERROR(__xludf.DUMMYFUNCTION("IMPORTRANGE(""https://docs.google.com/spreadsheets/d/1tdoBKaGub7dwA3U6UFTqxio9LNnvDCQjHKmttSEBsFQ/edit?usp=sharing"",""จัดที่ดิน!AW83"")"),0)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IFERROR(__xludf.DUMMYFUNCTION("IMPORTRANGE(""https://docs.google.com/spreadsheets/d/1eHaY18a8A9IcSdp1K8H6x8fbOy06t2VsZHhMHf-1x7Y/edit?usp=sharing"",""แผน!IH83"")"),0)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IFERROR(__xludf.DUMMYFUNCTION("IMPORTRANGE(""https://docs.google.com/spreadsheets/d/1eHaY18a8A9IcSdp1K8H6x8fbOy06t2VsZHhMHf-1x7Y/edit?usp=sharing"",""แผน!II83"")"),0)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IFERROR(__xludf.DUMMYFUNCTION("IMPORTRANGE(""https://docs.google.com/spreadsheets/d/1eHaY18a8A9IcSdp1K8H6x8fbOy06t2VsZHhMHf-1x7Y/edit?usp=sharing"",""แผน!IJ83"")"),0)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IFERROR(__xludf.DUMMYFUNCTION("IMPORTRANGE(""https://docs.google.com/spreadsheets/d/1eHaY18a8A9IcSdp1K8H6x8fbOy06t2VsZHhMHf-1x7Y/edit?usp=sharing"",""แผน!IK83"")"),0)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IFERROR(__xludf.DUMMYFUNCTION("IMPORTRANGE(""https://docs.google.com/spreadsheets/d/1tdoBKaGub7dwA3U6UFTqxio9LNnvDCQjHKmttSEBsFQ/edit?usp=sharing"",""จัดที่ดิน!AY83"")"),0)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IFERROR(__xludf.DUMMYFUNCTION("IMPORTRANGE(""https://docs.google.com/spreadsheets/d/1tdoBKaGub7dwA3U6UFTqxio9LNnvDCQjHKmttSEBsFQ/edit?usp=sharing"",""จัดที่ดิน!AZ83"")"),0)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IFERROR(__xludf.DUMMYFUNCTION("IMPORTRANGE(""https://docs.google.com/spreadsheets/d/1eHaY18a8A9IcSdp1K8H6x8fbOy06t2VsZHhMHf-1x7Y/edit?usp=sharing"",""แผน!IL83"")"),0)</f>
        <v>0</v>
      </c>
      <c r="J674" s="152">
        <f ca="1">IFERROR(__xludf.DUMMYFUNCTION("IMPORTRANGE(""https://docs.google.com/spreadsheets/d/1tdoBKaGub7dwA3U6UFTqxio9LNnvDCQjHKmttSEBsFQ/edit?usp=sharing"",""จัดที่ดิน!BA83"")"),0)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IFERROR(__xludf.DUMMYFUNCTION("IMPORTRANGE(""https://docs.google.com/spreadsheets/d/1eHaY18a8A9IcSdp1K8H6x8fbOy06t2VsZHhMHf-1x7Y/edit?usp=sharing"",""แผน!IM83"")"),0)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IFERROR(__xludf.DUMMYFUNCTION("IMPORTRANGE(""https://docs.google.com/spreadsheets/d/1eHaY18a8A9IcSdp1K8H6x8fbOy06t2VsZHhMHf-1x7Y/edit?usp=sharing"",""แผน!IN83"")"),0)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IFERROR(__xludf.DUMMYFUNCTION("IMPORTRANGE(""https://docs.google.com/spreadsheets/d/1eHaY18a8A9IcSdp1K8H6x8fbOy06t2VsZHhMHf-1x7Y/edit?usp=sharing"",""แผน!IO83"")"),0)</f>
        <v>0</v>
      </c>
      <c r="J677" s="152">
        <f ca="1">IFERROR(__xludf.DUMMYFUNCTION("IMPORTRANGE(""https://docs.google.com/spreadsheets/d/1tdoBKaGub7dwA3U6UFTqxio9LNnvDCQjHKmttSEBsFQ/edit?usp=sharing"",""จัดที่ดิน!BF83"")"),0)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IFERROR(__xludf.DUMMYFUNCTION("IMPORTRANGE(""https://docs.google.com/spreadsheets/d/1tdoBKaGub7dwA3U6UFTqxio9LNnvDCQjHKmttSEBsFQ/edit?usp=sharing"",""จัดที่ดิน!BG83"")"),0)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IFERROR(__xludf.DUMMYFUNCTION("IMPORTRANGE(""https://docs.google.com/spreadsheets/d/1eHaY18a8A9IcSdp1K8H6x8fbOy06t2VsZHhMHf-1x7Y/edit?usp=sharing"",""แผน!IP83"")"),0)</f>
        <v>0</v>
      </c>
      <c r="J679" s="152">
        <f ca="1">IFERROR(__xludf.DUMMYFUNCTION("IMPORTRANGE(""https://docs.google.com/spreadsheets/d/1tdoBKaGub7dwA3U6UFTqxio9LNnvDCQjHKmttSEBsFQ/edit?usp=sharing"",""จัดที่ดิน!BH83"")"),0)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IFERROR(__xludf.DUMMYFUNCTION("IMPORTRANGE(""https://docs.google.com/spreadsheets/d/1eHaY18a8A9IcSdp1K8H6x8fbOy06t2VsZHhMHf-1x7Y/edit?usp=sharing"",""แผน!IQ83"")"),0)</f>
        <v>0</v>
      </c>
      <c r="J680" s="152">
        <f ca="1">IFERROR(__xludf.DUMMYFUNCTION("IMPORTRANGE(""https://docs.google.com/spreadsheets/d/1tdoBKaGub7dwA3U6UFTqxio9LNnvDCQjHKmttSEBsFQ/edit?usp=sharing"",""จัดที่ดิน!BK83"")"),0)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IFERROR(__xludf.DUMMYFUNCTION("IMPORTRANGE(""https://docs.google.com/spreadsheets/d/1tdoBKaGub7dwA3U6UFTqxio9LNnvDCQjHKmttSEBsFQ/edit?usp=sharing"",""จัดที่ดิน!BL83"")"),0)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IFERROR(__xludf.DUMMYFUNCTION("IMPORTRANGE(""https://docs.google.com/spreadsheets/d/1eHaY18a8A9IcSdp1K8H6x8fbOy06t2VsZHhMHf-1x7Y/edit?usp=sharing"",""แผน!IR83"")"),0)</f>
        <v>0</v>
      </c>
      <c r="J682" s="152">
        <f ca="1">IFERROR(__xludf.DUMMYFUNCTION("IMPORTRANGE(""https://docs.google.com/spreadsheets/d/1tdoBKaGub7dwA3U6UFTqxio9LNnvDCQjHKmttSEBsFQ/edit?usp=sharing"",""จัดที่ดิน!BM83"")"),0)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IFERROR(__xludf.DUMMYFUNCTION("IMPORTRANGE(""https://docs.google.com/spreadsheets/d/1eHaY18a8A9IcSdp1K8H6x8fbOy06t2VsZHhMHf-1x7Y/edit?usp=sharing"",""แผน!IS83"")"),0)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hidden="1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0">I708</f>
        <v>0</v>
      </c>
      <c r="J690" s="753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hidden="1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0</v>
      </c>
      <c r="R691" s="132">
        <f t="shared" ca="1" si="414"/>
        <v>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0</v>
      </c>
      <c r="R693" s="46">
        <f t="shared" ca="1" si="418"/>
        <v>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hidden="1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0</v>
      </c>
      <c r="R694" s="46">
        <f t="shared" ca="1" si="420"/>
        <v>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IFERROR(__xludf.DUMMYFUNCTION("IMPORTRANGE(""https://docs.google.com/spreadsheets/d/1ItG2mGa2ceCfYo0BwxsXqNm01IGEUdYcSSLTEv9YCik/edit?usp=sharing"",""เบิกจ่ายกองทุน!L83"")"),0)</f>
        <v>0</v>
      </c>
      <c r="R696" s="46">
        <f ca="1">IFERROR(__xludf.DUMMYFUNCTION("IMPORTRANGE(""https://docs.google.com/spreadsheets/d/1ItG2mGa2ceCfYo0BwxsXqNm01IGEUdYcSSLTEv9YCik/edit?usp=sharing"",""เบิกจ่ายกองทุน!M83"")"),0)</f>
        <v>0</v>
      </c>
      <c r="S696" s="46">
        <f ca="1">IFERROR(__xludf.DUMMYFUNCTION("IMPORTRANGE(""https://docs.google.com/spreadsheets/d/1ItG2mGa2ceCfYo0BwxsXqNm01IGEUdYcSSLTEv9YCik/edit?usp=sharing"",""เบิกจ่ายกองทุน!N83"")"),0)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hidden="1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hidden="1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hidden="1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IFERROR(__xludf.DUMMYFUNCTION("IMPORTRANGE(""https://docs.google.com/spreadsheets/d/1eHaY18a8A9IcSdp1K8H6x8fbOy06t2VsZHhMHf-1x7Y/edit?usp=sharing"",""แผน!LC83"")"),0)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hidden="1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0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IFERROR(__xludf.DUMMYFUNCTION("IMPORTRANGE(""https://docs.google.com/spreadsheets/d/1eHaY18a8A9IcSdp1K8H6x8fbOy06t2VsZHhMHf-1x7Y/edit?usp=sharing"",""แผน!LJ83"")"),0)</f>
        <v>0</v>
      </c>
      <c r="J704" s="152">
        <f ca="1">IFERROR(__xludf.DUMMYFUNCTION("IMPORTRANGE(""https://docs.google.com/spreadsheets/d/1tdoBKaGub7dwA3U6UFTqxio9LNnvDCQjHKmttSEBsFQ/edit?usp=sharing"",""จัดที่ดิน!AP83"")"),0)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IFERROR(__xludf.DUMMYFUNCTION("IMPORTRANGE(""https://docs.google.com/spreadsheets/d/1tdoBKaGub7dwA3U6UFTqxio9LNnvDCQjHKmttSEBsFQ/edit?usp=sharing"",""จัดที่ดิน!AQ83"")"),0)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IFERROR(__xludf.DUMMYFUNCTION("IMPORTRANGE(""https://docs.google.com/spreadsheets/d/1eHaY18a8A9IcSdp1K8H6x8fbOy06t2VsZHhMHf-1x7Y/edit?usp=sharing"",""แผน!LK83"")"),0)</f>
        <v>0</v>
      </c>
      <c r="J706" s="152">
        <f ca="1">IFERROR(__xludf.DUMMYFUNCTION("IMPORTRANGE(""https://docs.google.com/spreadsheets/d/1tdoBKaGub7dwA3U6UFTqxio9LNnvDCQjHKmttSEBsFQ/edit?usp=sharing"",""จัดที่ดิน!AR83"")"),0)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IFERROR(__xludf.DUMMYFUNCTION("IMPORTRANGE(""https://docs.google.com/spreadsheets/d/1tdoBKaGub7dwA3U6UFTqxio9LNnvDCQjHKmttSEBsFQ/edit?usp=sharing"",""จัดที่ดิน!AS83"")"),0)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IFERROR(__xludf.DUMMYFUNCTION("IMPORTRANGE(""https://docs.google.com/spreadsheets/d/1eHaY18a8A9IcSdp1K8H6x8fbOy06t2VsZHhMHf-1x7Y/edit?usp=sharing"",""แผน!LJ83"")"),0)</f>
        <v>0</v>
      </c>
      <c r="J708" s="152">
        <f ca="1">IFERROR(__xludf.DUMMYFUNCTION("IMPORTRANGE(""https://docs.google.com/spreadsheets/d/1tdoBKaGub7dwA3U6UFTqxio9LNnvDCQjHKmttSEBsFQ/edit?usp=sharing"",""จัดที่ดิน!BN83"")"),0)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IFERROR(__xludf.DUMMYFUNCTION("IMPORTRANGE(""https://docs.google.com/spreadsheets/d/1tdoBKaGub7dwA3U6UFTqxio9LNnvDCQjHKmttSEBsFQ/edit?usp=sharing"",""จัดที่ดิน!BO83"")"),0)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IFERROR(__xludf.DUMMYFUNCTION("IMPORTRANGE(""https://docs.google.com/spreadsheets/d/1eHaY18a8A9IcSdp1K8H6x8fbOy06t2VsZHhMHf-1x7Y/edit?usp=sharing"",""แผน!LK83"")"),0)</f>
        <v>0</v>
      </c>
      <c r="J710" s="152">
        <f ca="1">IFERROR(__xludf.DUMMYFUNCTION("IMPORTRANGE(""https://docs.google.com/spreadsheets/d/1tdoBKaGub7dwA3U6UFTqxio9LNnvDCQjHKmttSEBsFQ/edit?usp=sharing"",""จัดที่ดิน!BP83"")"),0)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hidden="1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IFERROR(__xludf.DUMMYFUNCTION("IMPORTRANGE(""https://docs.google.com/spreadsheets/d/1tdoBKaGub7dwA3U6UFTqxio9LNnvDCQjHKmttSEBsFQ/edit?usp=sharing"",""จัดที่ดิน!BQ83"")"),0)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IFERROR(__xludf.DUMMYFUNCTION("IMPORTRANGE(""https://docs.google.com/spreadsheets/d/1eHaY18a8A9IcSdp1K8H6x8fbOy06t2VsZHhMHf-1x7Y/edit?usp=sharing"",""แผน!GA83"")"),11)</f>
        <v>11</v>
      </c>
      <c r="J727" s="448">
        <f>J743+J747+J750</f>
        <v>0</v>
      </c>
      <c r="K727" s="449">
        <f t="shared" ref="K727:K728" ca="1" si="437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IFERROR(__xludf.DUMMYFUNCTION("IMPORTRANGE(""https://docs.google.com/spreadsheets/d/1eHaY18a8A9IcSdp1K8H6x8fbOy06t2VsZHhMHf-1x7Y/edit?usp=sharing"",""แผน!FZ83"")"),100)</f>
        <v>100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111882</v>
      </c>
      <c r="R729" s="132">
        <f t="shared" ca="1" si="441"/>
        <v>111882</v>
      </c>
      <c r="S729" s="132">
        <f t="shared" ca="1" si="441"/>
        <v>2900</v>
      </c>
      <c r="T729" s="132">
        <f t="shared" ref="T729:T737" ca="1" si="442">IF(Q729&gt;0,S729*100/Q729,0)</f>
        <v>2.5920165889061688</v>
      </c>
      <c r="U729" s="132">
        <f t="shared" ref="U729:U737" ca="1" si="443">IF(R729&gt;0,S729*100/R729,0)</f>
        <v>2.5920165889061688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111882</v>
      </c>
      <c r="R731" s="46">
        <f t="shared" ca="1" si="445"/>
        <v>111882</v>
      </c>
      <c r="S731" s="46">
        <f t="shared" ca="1" si="445"/>
        <v>2900</v>
      </c>
      <c r="T731" s="46">
        <f t="shared" ca="1" si="442"/>
        <v>2.5920165889061688</v>
      </c>
      <c r="U731" s="46">
        <f t="shared" ca="1" si="443"/>
        <v>2.5920165889061688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111882</v>
      </c>
      <c r="R732" s="46">
        <f t="shared" ca="1" si="447"/>
        <v>111882</v>
      </c>
      <c r="S732" s="46">
        <f t="shared" ca="1" si="447"/>
        <v>2900</v>
      </c>
      <c r="T732" s="46">
        <f t="shared" ca="1" si="442"/>
        <v>2.5920165889061688</v>
      </c>
      <c r="U732" s="46">
        <f t="shared" ca="1" si="443"/>
        <v>2.5920165889061688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4" s="46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4" s="46">
        <f ca="1">IFERROR(__xludf.DUMMYFUNCTION("IMPORTRANGE(""https://docs.google.com/spreadsheets/d/1ItG2mGa2ceCfYo0BwxsXqNm01IGEUdYcSSLTEv9YCik/edit?usp=sharing"",""เบิกจ่ายกองทุน!Q83"")"),2900)</f>
        <v>2900</v>
      </c>
      <c r="T734" s="46">
        <f t="shared" ca="1" si="442"/>
        <v>2.5920165889061688</v>
      </c>
      <c r="U734" s="46">
        <f t="shared" ca="1" si="443"/>
        <v>2.5920165889061688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IFERROR(__xludf.DUMMYFUNCTION("IMPORTRANGE(""https://docs.google.com/spreadsheets/d/1eHaY18a8A9IcSdp1K8H6x8fbOy06t2VsZHhMHf-1x7Y/edit?usp=sharing"",""แผน!GB83"")"),80)</f>
        <v>80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IFERROR(__xludf.DUMMYFUNCTION("IMPORTRANGE(""https://docs.google.com/spreadsheets/d/1eHaY18a8A9IcSdp1K8H6x8fbOy06t2VsZHhMHf-1x7Y/edit?usp=sharing"",""แผน!GC83"")"),8)</f>
        <v>8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IFERROR(__xludf.DUMMYFUNCTION("IMPORTRANGE(""https://docs.google.com/spreadsheets/d/1eHaY18a8A9IcSdp1K8H6x8fbOy06t2VsZHhMHf-1x7Y/edit?usp=sharing"",""แผน!GD83"")"),20)</f>
        <v>20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IFERROR(__xludf.DUMMYFUNCTION("IMPORTRANGE(""https://docs.google.com/spreadsheets/d/1eHaY18a8A9IcSdp1K8H6x8fbOy06t2VsZHhMHf-1x7Y/edit?usp=sharing"",""แผน!GE83"")"),2)</f>
        <v>2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IFERROR(__xludf.DUMMYFUNCTION("IMPORTRANGE(""https://docs.google.com/spreadsheets/d/1eHaY18a8A9IcSdp1K8H6x8fbOy06t2VsZHhMHf-1x7Y/edit?usp=sharing"",""แผน!GF83"")"),1)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IFERROR(__xludf.DUMMYFUNCTION("IMPORTRANGE(""https://docs.google.com/spreadsheets/d/1eHaY18a8A9IcSdp1K8H6x8fbOy06t2VsZHhMHf-1x7Y/edit?usp=sharing"",""แผน!GB83"")"),80)</f>
        <v>80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IFERROR(__xludf.DUMMYFUNCTION("IMPORTRANGE(""https://docs.google.com/spreadsheets/d/1eHaY18a8A9IcSdp1K8H6x8fbOy06t2VsZHhMHf-1x7Y/edit?usp=sharing"",""แผน!GD83"")"),20)</f>
        <v>20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25</v>
      </c>
      <c r="J759" s="448">
        <f t="shared" si="450"/>
        <v>25</v>
      </c>
      <c r="K759" s="449">
        <f t="shared" ref="K759:K760" ca="1" si="451">IF(I759&gt;0,J759*100/I759,0)</f>
        <v>100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50</v>
      </c>
      <c r="J760" s="448">
        <f t="shared" si="452"/>
        <v>50</v>
      </c>
      <c r="K760" s="449">
        <f t="shared" ca="1" si="451"/>
        <v>100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169530</v>
      </c>
      <c r="R761" s="132">
        <f t="shared" ca="1" si="456"/>
        <v>169530</v>
      </c>
      <c r="S761" s="132">
        <f t="shared" ca="1" si="456"/>
        <v>58750</v>
      </c>
      <c r="T761" s="132">
        <f t="shared" ref="T761:T769" ca="1" si="457">IF(Q761&gt;0,S761*100/Q761,0)</f>
        <v>34.654633398218607</v>
      </c>
      <c r="U761" s="132">
        <f t="shared" ref="U761:U769" ca="1" si="458">IF(R761&gt;0,S761*100/R761,0)</f>
        <v>34.654633398218607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169530</v>
      </c>
      <c r="R763" s="46">
        <f t="shared" ca="1" si="460"/>
        <v>169530</v>
      </c>
      <c r="S763" s="46">
        <f t="shared" ca="1" si="460"/>
        <v>58750</v>
      </c>
      <c r="T763" s="46">
        <f t="shared" ca="1" si="457"/>
        <v>34.654633398218607</v>
      </c>
      <c r="U763" s="46">
        <f t="shared" ca="1" si="458"/>
        <v>34.654633398218607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169530</v>
      </c>
      <c r="R764" s="46">
        <f t="shared" ca="1" si="462"/>
        <v>169530</v>
      </c>
      <c r="S764" s="46">
        <f t="shared" ca="1" si="462"/>
        <v>58750</v>
      </c>
      <c r="T764" s="46">
        <f t="shared" ca="1" si="457"/>
        <v>34.654633398218607</v>
      </c>
      <c r="U764" s="46">
        <f t="shared" ca="1" si="458"/>
        <v>34.654633398218607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IFERROR(__xludf.DUMMYFUNCTION("IMPORTRANGE(""https://docs.google.com/spreadsheets/d/1ItG2mGa2ceCfYo0BwxsXqNm01IGEUdYcSSLTEv9YCik/edit?usp=sharing"",""เบิกจ่ายกองทุน!U83"")"),169530)</f>
        <v>169530</v>
      </c>
      <c r="R766" s="46">
        <f ca="1">IFERROR(__xludf.DUMMYFUNCTION("IMPORTRANGE(""https://docs.google.com/spreadsheets/d/1ItG2mGa2ceCfYo0BwxsXqNm01IGEUdYcSSLTEv9YCik/edit?usp=sharing"",""เบิกจ่ายกองทุน!V83"")"),169530)</f>
        <v>169530</v>
      </c>
      <c r="S766" s="46">
        <f ca="1">IFERROR(__xludf.DUMMYFUNCTION("IMPORTRANGE(""https://docs.google.com/spreadsheets/d/1ItG2mGa2ceCfYo0BwxsXqNm01IGEUdYcSSLTEv9YCik/edit?usp=sharing"",""เบิกจ่ายกองทุน!W83"")"),58750)</f>
        <v>58750</v>
      </c>
      <c r="T766" s="46">
        <f t="shared" ca="1" si="457"/>
        <v>34.654633398218607</v>
      </c>
      <c r="U766" s="46">
        <f t="shared" ca="1" si="458"/>
        <v>34.654633398218607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IFERROR(__xludf.DUMMYFUNCTION("IMPORTRANGE(""https://docs.google.com/spreadsheets/d/1eHaY18a8A9IcSdp1K8H6x8fbOy06t2VsZHhMHf-1x7Y/edit?usp=sharing"",""แผน!FI83"")"),0)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IFERROR(__xludf.DUMMYFUNCTION("IMPORTRANGE(""https://docs.google.com/spreadsheets/d/1eHaY18a8A9IcSdp1K8H6x8fbOy06t2VsZHhMHf-1x7Y/edit?usp=sharing"",""แผน!FQ83"")"),25)</f>
        <v>25</v>
      </c>
      <c r="J773" s="168">
        <v>25</v>
      </c>
      <c r="K773" s="46">
        <f ca="1">IF(I773&gt;0,J773*100/I773,0)</f>
        <v>100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IFERROR(__xludf.DUMMYFUNCTION("IMPORTRANGE(""https://docs.google.com/spreadsheets/d/1eHaY18a8A9IcSdp1K8H6x8fbOy06t2VsZHhMHf-1x7Y/edit?usp=sharing"",""แผน!FR83"")"),50)</f>
        <v>50</v>
      </c>
      <c r="J775" s="168">
        <v>50</v>
      </c>
      <c r="K775" s="46">
        <f ca="1">IF(I775&gt;0,J775*100/I775,0)</f>
        <v>100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IFERROR(__xludf.DUMMYFUNCTION("IMPORTRANGE(""https://docs.google.com/spreadsheets/d/1eHaY18a8A9IcSdp1K8H6x8fbOy06t2VsZHhMHf-1x7Y/edit?usp=sharing"",""แผน!FS83"")"),50)</f>
        <v>50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IFERROR(__xludf.DUMMYFUNCTION("IMPORTRANGE(""https://docs.google.com/spreadsheets/d/1eHaY18a8A9IcSdp1K8H6x8fbOy06t2VsZHhMHf-1x7Y/edit?usp=sharing"",""แผน!FT83"")"),25)</f>
        <v>25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9" s="152">
        <f ca="1">IFERROR(__xludf.DUMMYFUNCTION("IMPORTRANGE(""https://docs.google.com/spreadsheets/d/10OvvATaaLtwErnr3qtWFcTmtbfpFEt5Bsqel9sXx0uE/edit?usp=sharing"",""งานกองทุน!F83"")"),120738.85)</f>
        <v>120738.85</v>
      </c>
      <c r="K779" s="46">
        <f t="shared" ref="K779:K786" ca="1" si="465">IF(I779&gt;0,J779*100/I779,0)</f>
        <v>26.983515092005412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IFERROR(__xludf.DUMMYFUNCTION("IMPORTRANGE(""https://docs.google.com/spreadsheets/d/10OvvATaaLtwErnr3qtWFcTmtbfpFEt5Bsqel9sXx0uE/edit?usp=sharing"",""งานกองทุน!C83"")"),27)</f>
        <v>27</v>
      </c>
      <c r="J780" s="152">
        <f ca="1">IFERROR(__xludf.DUMMYFUNCTION("IMPORTRANGE(""https://docs.google.com/spreadsheets/d/10OvvATaaLtwErnr3qtWFcTmtbfpFEt5Bsqel9sXx0uE/edit?usp=sharing"",""งานกองทุน!E83"")"),6)</f>
        <v>6</v>
      </c>
      <c r="K780" s="46">
        <f t="shared" ca="1" si="465"/>
        <v>22.222222222222221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1" s="152">
        <f ca="1">IFERROR(__xludf.DUMMYFUNCTION("IMPORTRANGE(""https://docs.google.com/spreadsheets/d/10OvvATaaLtwErnr3qtWFcTmtbfpFEt5Bsqel9sXx0uE/edit?usp=sharing"",""งานกองทุน!K83"")"),68585.35)</f>
        <v>68585.350000000006</v>
      </c>
      <c r="K781" s="46">
        <f t="shared" ca="1" si="465"/>
        <v>43.257516227083364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IFERROR(__xludf.DUMMYFUNCTION("IMPORTRANGE(""https://docs.google.com/spreadsheets/d/10OvvATaaLtwErnr3qtWFcTmtbfpFEt5Bsqel9sXx0uE/edit?usp=sharing"",""งานกองทุน!H83"")"),7)</f>
        <v>7</v>
      </c>
      <c r="J782" s="152">
        <f ca="1">IFERROR(__xludf.DUMMYFUNCTION("IMPORTRANGE(""https://docs.google.com/spreadsheets/d/10OvvATaaLtwErnr3qtWFcTmtbfpFEt5Bsqel9sXx0uE/edit?usp=sharing"",""งานกองทุน!J83"")"),5)</f>
        <v>5</v>
      </c>
      <c r="K782" s="46">
        <f t="shared" ca="1" si="465"/>
        <v>71.428571428571431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IFERROR(__xludf.DUMMYFUNCTION("IMPORTRANGE(""https://docs.google.com/spreadsheets/d/10OvvATaaLtwErnr3qtWFcTmtbfpFEt5Bsqel9sXx0uE/edit?usp=sharing"",""งานกองทุน!N83"")"),0)</f>
        <v>0</v>
      </c>
      <c r="J783" s="152">
        <f ca="1">IFERROR(__xludf.DUMMYFUNCTION("IMPORTRANGE(""https://docs.google.com/spreadsheets/d/10OvvATaaLtwErnr3qtWFcTmtbfpFEt5Bsqel9sXx0uE/edit?usp=sharing"",""งานกองทุน!P83"")"),0)</f>
        <v>0</v>
      </c>
      <c r="K783" s="46">
        <f t="shared" ca="1" si="465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IFERROR(__xludf.DUMMYFUNCTION("IMPORTRANGE(""https://docs.google.com/spreadsheets/d/10OvvATaaLtwErnr3qtWFcTmtbfpFEt5Bsqel9sXx0uE/edit?usp=sharing"",""งานกองทุน!M83"")"),0)</f>
        <v>0</v>
      </c>
      <c r="J784" s="152">
        <f ca="1">IFERROR(__xludf.DUMMYFUNCTION("IMPORTRANGE(""https://docs.google.com/spreadsheets/d/10OvvATaaLtwErnr3qtWFcTmtbfpFEt5Bsqel9sXx0uE/edit?usp=sharing"",""งานกองทุน!O83"")"),0)</f>
        <v>0</v>
      </c>
      <c r="K784" s="46">
        <f t="shared" ca="1" si="465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IFERROR(__xludf.DUMMYFUNCTION("IMPORTRANGE(""https://docs.google.com/spreadsheets/d/10OvvATaaLtwErnr3qtWFcTmtbfpFEt5Bsqel9sXx0uE/edit?usp=sharing"",""งานกองทุน!S83"")"),252000)</f>
        <v>252000</v>
      </c>
      <c r="J785" s="152">
        <f ca="1">IFERROR(__xludf.DUMMYFUNCTION("IMPORTRANGE(""https://docs.google.com/spreadsheets/d/10OvvATaaLtwErnr3qtWFcTmtbfpFEt5Bsqel9sXx0uE/edit?usp=sharing"",""งานกองทุน!U83"")"),0)</f>
        <v>0</v>
      </c>
      <c r="K785" s="46">
        <f t="shared" ca="1" si="465"/>
        <v>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IFERROR(__xludf.DUMMYFUNCTION("IMPORTRANGE(""https://docs.google.com/spreadsheets/d/10OvvATaaLtwErnr3qtWFcTmtbfpFEt5Bsqel9sXx0uE/edit?usp=sharing"",""งานกองทุน!R83"")"),9)</f>
        <v>9</v>
      </c>
      <c r="J786" s="204">
        <f ca="1">IFERROR(__xludf.DUMMYFUNCTION("IMPORTRANGE(""https://docs.google.com/spreadsheets/d/10OvvATaaLtwErnr3qtWFcTmtbfpFEt5Bsqel9sXx0uE/edit?usp=sharing"",""งานกองทุน!T83"")"),0)</f>
        <v>0</v>
      </c>
      <c r="K786" s="110">
        <f t="shared" ca="1" si="465"/>
        <v>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2" fitToHeight="0" orientation="portrait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D3990-F9CD-4BAF-AA85-D54122E66D5B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6" width="12.5703125" bestFit="1" customWidth="1"/>
    <col min="17" max="19" width="18.7109375" bestFit="1" customWidth="1"/>
    <col min="20" max="21" width="12.5703125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322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1180995</v>
      </c>
      <c r="M19" s="34">
        <f t="shared" ca="1" si="0"/>
        <v>1224405</v>
      </c>
      <c r="N19" s="34">
        <f t="shared" ca="1" si="0"/>
        <v>922168.19000000006</v>
      </c>
      <c r="O19" s="34">
        <f t="shared" ref="O19:O27" ca="1" si="1">IF(L19&gt;0,N19*100/L19,0)</f>
        <v>78.084004589350499</v>
      </c>
      <c r="P19" s="34">
        <f t="shared" ref="P19:P27" ca="1" si="2">IF(M19&gt;0,N19*100/M19,0)</f>
        <v>75.315617789865286</v>
      </c>
      <c r="Q19" s="34">
        <f t="shared" ref="Q19:S19" ca="1" si="3">Q20+Q21</f>
        <v>711058.99</v>
      </c>
      <c r="R19" s="34">
        <f t="shared" ca="1" si="3"/>
        <v>701684</v>
      </c>
      <c r="S19" s="34">
        <f t="shared" ca="1" si="3"/>
        <v>120453.44</v>
      </c>
      <c r="T19" s="34">
        <f t="shared" ref="T19:T27" ca="1" si="4">IF(Q19&gt;0,S19*100/Q19,0)</f>
        <v>16.940006623079192</v>
      </c>
      <c r="U19" s="34">
        <f t="shared" ref="U19:U27" ca="1" si="5">IF(R19&gt;0,S19*100/R19,0)</f>
        <v>17.166336983599454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1180995</v>
      </c>
      <c r="M21" s="38">
        <f t="shared" ca="1" si="6"/>
        <v>1224405</v>
      </c>
      <c r="N21" s="38">
        <f t="shared" ca="1" si="6"/>
        <v>922168.19000000006</v>
      </c>
      <c r="O21" s="38">
        <f t="shared" ca="1" si="1"/>
        <v>78.084004589350499</v>
      </c>
      <c r="P21" s="38">
        <f t="shared" ca="1" si="2"/>
        <v>75.315617789865286</v>
      </c>
      <c r="Q21" s="38">
        <f t="shared" ca="1" si="7"/>
        <v>711058.99</v>
      </c>
      <c r="R21" s="38">
        <f t="shared" ca="1" si="7"/>
        <v>701684</v>
      </c>
      <c r="S21" s="38">
        <f t="shared" ca="1" si="7"/>
        <v>120453.44</v>
      </c>
      <c r="T21" s="38">
        <f t="shared" ca="1" si="4"/>
        <v>16.940006623079192</v>
      </c>
      <c r="U21" s="38">
        <f t="shared" ca="1" si="5"/>
        <v>17.166336983599454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1180995</v>
      </c>
      <c r="M22" s="46">
        <f t="shared" ca="1" si="8"/>
        <v>1224405</v>
      </c>
      <c r="N22" s="46">
        <f t="shared" ca="1" si="8"/>
        <v>922168.19000000006</v>
      </c>
      <c r="O22" s="46">
        <f t="shared" ca="1" si="1"/>
        <v>78.084004589350499</v>
      </c>
      <c r="P22" s="46">
        <f t="shared" ca="1" si="2"/>
        <v>75.315617789865286</v>
      </c>
      <c r="Q22" s="46">
        <f t="shared" ref="Q22:S22" ca="1" si="9">Q23+Q24</f>
        <v>711058.99</v>
      </c>
      <c r="R22" s="46">
        <f t="shared" ca="1" si="9"/>
        <v>701684</v>
      </c>
      <c r="S22" s="46">
        <f t="shared" ca="1" si="9"/>
        <v>120453.44</v>
      </c>
      <c r="T22" s="46">
        <f t="shared" ca="1" si="4"/>
        <v>16.940006623079192</v>
      </c>
      <c r="U22" s="46">
        <f t="shared" ca="1" si="5"/>
        <v>17.166336983599454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1180995</v>
      </c>
      <c r="M24" s="46">
        <f t="shared" ca="1" si="10"/>
        <v>1224405</v>
      </c>
      <c r="N24" s="46">
        <f t="shared" ca="1" si="10"/>
        <v>922168.19000000006</v>
      </c>
      <c r="O24" s="46">
        <f t="shared" ca="1" si="1"/>
        <v>78.084004589350499</v>
      </c>
      <c r="P24" s="46">
        <f t="shared" ca="1" si="2"/>
        <v>75.315617789865286</v>
      </c>
      <c r="Q24" s="46">
        <f t="shared" ca="1" si="11"/>
        <v>711058.99</v>
      </c>
      <c r="R24" s="46">
        <f t="shared" ca="1" si="11"/>
        <v>701684</v>
      </c>
      <c r="S24" s="46">
        <f t="shared" ca="1" si="11"/>
        <v>120453.44</v>
      </c>
      <c r="T24" s="46">
        <f t="shared" ca="1" si="4"/>
        <v>16.940006623079192</v>
      </c>
      <c r="U24" s="46">
        <f t="shared" ca="1" si="5"/>
        <v>17.166336983599454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1180995</v>
      </c>
      <c r="M41" s="525">
        <f t="shared" ca="1" si="16"/>
        <v>1224405</v>
      </c>
      <c r="N41" s="525">
        <f t="shared" ca="1" si="16"/>
        <v>922168.19000000006</v>
      </c>
      <c r="O41" s="525">
        <f ca="1">IF(L41&gt;0,N41*100/L41,0)</f>
        <v>78.084004589350499</v>
      </c>
      <c r="P41" s="525">
        <f ca="1">IF(M41&gt;0,N41*100/M41,0)</f>
        <v>75.315617789865286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132100</v>
      </c>
      <c r="M45" s="78">
        <f t="shared" ca="1" si="17"/>
        <v>152080</v>
      </c>
      <c r="N45" s="78">
        <f t="shared" ca="1" si="17"/>
        <v>108350</v>
      </c>
      <c r="O45" s="78">
        <f t="shared" ref="O45:O53" ca="1" si="18">IF(L45&gt;0,N45*100/L45,0)</f>
        <v>82.021196063588192</v>
      </c>
      <c r="P45" s="78">
        <f t="shared" ref="P45:P53" ca="1" si="19">IF(M45&gt;0,N45*100/M45,0)</f>
        <v>71.245397159389796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132100</v>
      </c>
      <c r="M47" s="82">
        <f t="shared" ca="1" si="23"/>
        <v>152080</v>
      </c>
      <c r="N47" s="82">
        <f t="shared" ca="1" si="23"/>
        <v>108350</v>
      </c>
      <c r="O47" s="82">
        <f t="shared" ca="1" si="18"/>
        <v>82.021196063588192</v>
      </c>
      <c r="P47" s="82">
        <f t="shared" ca="1" si="19"/>
        <v>71.245397159389796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132100</v>
      </c>
      <c r="M48" s="46">
        <f t="shared" ca="1" si="25"/>
        <v>152080</v>
      </c>
      <c r="N48" s="46">
        <f t="shared" ca="1" si="25"/>
        <v>108350</v>
      </c>
      <c r="O48" s="46">
        <f t="shared" ca="1" si="18"/>
        <v>82.021196063588192</v>
      </c>
      <c r="P48" s="46">
        <f t="shared" ca="1" si="19"/>
        <v>71.245397159389796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IFERROR(__xludf.DUMMYFUNCTION("IMPORTRANGE(""https://docs.google.com/spreadsheets/d/1-uDff_7J0KD5mKrp0Vvzr7lt3OU09vwQwhkpOPPYv2Y/edit?usp=sharing"",""งบพรบ!P84"")"),132100)</f>
        <v>132100</v>
      </c>
      <c r="M50" s="46">
        <f ca="1">IFERROR(__xludf.DUMMYFUNCTION("IMPORTRANGE(""https://docs.google.com/spreadsheets/d/1-uDff_7J0KD5mKrp0Vvzr7lt3OU09vwQwhkpOPPYv2Y/edit?usp=sharing"",""งบพรบ!V84"")"),152080)</f>
        <v>152080</v>
      </c>
      <c r="N50" s="46">
        <f ca="1">IFERROR(__xludf.DUMMYFUNCTION("IMPORTRANGE(""https://docs.google.com/spreadsheets/d/1-uDff_7J0KD5mKrp0Vvzr7lt3OU09vwQwhkpOPPYv2Y/edit?usp=sharing"",""งบพรบ!Y84"")"),108350)</f>
        <v>108350</v>
      </c>
      <c r="O50" s="46">
        <f t="shared" ca="1" si="18"/>
        <v>82.021196063588192</v>
      </c>
      <c r="P50" s="46">
        <f t="shared" ca="1" si="19"/>
        <v>71.245397159389796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IFERROR(__xludf.DUMMYFUNCTION("IMPORTRANGE(""https://docs.google.com/spreadsheets/d/1-uDff_7J0KD5mKrp0Vvzr7lt3OU09vwQwhkpOPPYv2Y/edit?usp=sharing"",""งบพรบ!S84"")"),0)</f>
        <v>0</v>
      </c>
      <c r="M53" s="46">
        <f ca="1">IFERROR(__xludf.DUMMYFUNCTION("IMPORTRANGE(""https://docs.google.com/spreadsheets/d/1-uDff_7J0KD5mKrp0Vvzr7lt3OU09vwQwhkpOPPYv2Y/edit?usp=sharing"",""งบพรบ!W84"")"),0)</f>
        <v>0</v>
      </c>
      <c r="N53" s="46">
        <f ca="1">IFERROR(__xludf.DUMMYFUNCTION("IMPORTRANGE(""https://docs.google.com/spreadsheets/d/1-uDff_7J0KD5mKrp0Vvzr7lt3OU09vwQwhkpOPPYv2Y/edit?usp=sharing"",""งบพรบ!Z84"")"),0)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388700</v>
      </c>
      <c r="M60" s="105">
        <f t="shared" ca="1" si="29"/>
        <v>388700</v>
      </c>
      <c r="N60" s="105">
        <f t="shared" ca="1" si="29"/>
        <v>314215.5</v>
      </c>
      <c r="O60" s="105">
        <f t="shared" ref="O60:O68" ca="1" si="30">IF(L60&gt;0,N60*100/L60,0)</f>
        <v>80.837535374324673</v>
      </c>
      <c r="P60" s="105">
        <f t="shared" ref="P60:P68" ca="1" si="31">IF(M60&gt;0,N60*100/M60,0)</f>
        <v>80.837535374324673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388700</v>
      </c>
      <c r="M62" s="108">
        <f t="shared" ca="1" si="35"/>
        <v>388700</v>
      </c>
      <c r="N62" s="108">
        <f t="shared" ca="1" si="35"/>
        <v>314215.5</v>
      </c>
      <c r="O62" s="108">
        <f t="shared" ca="1" si="30"/>
        <v>80.837535374324673</v>
      </c>
      <c r="P62" s="108">
        <f t="shared" ca="1" si="31"/>
        <v>80.837535374324673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388700</v>
      </c>
      <c r="M63" s="46">
        <f t="shared" ca="1" si="37"/>
        <v>388700</v>
      </c>
      <c r="N63" s="46">
        <f t="shared" ca="1" si="37"/>
        <v>314215.5</v>
      </c>
      <c r="O63" s="46">
        <f t="shared" ca="1" si="30"/>
        <v>80.837535374324673</v>
      </c>
      <c r="P63" s="46">
        <f t="shared" ca="1" si="31"/>
        <v>80.837535374324673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IFERROR(__xludf.DUMMYFUNCTION("IMPORTRANGE(""https://docs.google.com/spreadsheets/d/1-uDff_7J0KD5mKrp0Vvzr7lt3OU09vwQwhkpOPPYv2Y/edit?usp=sharing"",""งบพรบ!AC84"")"),388700)</f>
        <v>388700</v>
      </c>
      <c r="M65" s="46">
        <f ca="1">IFERROR(__xludf.DUMMYFUNCTION("IMPORTRANGE(""https://docs.google.com/spreadsheets/d/1-uDff_7J0KD5mKrp0Vvzr7lt3OU09vwQwhkpOPPYv2Y/edit?usp=sharing"",""งบพรบ!AH84"")"),388700)</f>
        <v>388700</v>
      </c>
      <c r="N65" s="46">
        <f ca="1">IFERROR(__xludf.DUMMYFUNCTION("IMPORTRANGE(""https://docs.google.com/spreadsheets/d/1-uDff_7J0KD5mKrp0Vvzr7lt3OU09vwQwhkpOPPYv2Y/edit?usp=sharing"",""งบพรบ!AJ84"")"),314215.5)</f>
        <v>314215.5</v>
      </c>
      <c r="O65" s="46">
        <f t="shared" ca="1" si="30"/>
        <v>80.837535374324673</v>
      </c>
      <c r="P65" s="46">
        <f t="shared" ca="1" si="31"/>
        <v>80.837535374324673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IFERROR(__xludf.DUMMYFUNCTION("IMPORTRANGE(""https://docs.google.com/spreadsheets/d/1-uDff_7J0KD5mKrp0Vvzr7lt3OU09vwQwhkpOPPYv2Y/edit?usp=sharing"",""งบพรบ!AF84"")"),0)</f>
        <v>0</v>
      </c>
      <c r="M68" s="110">
        <f ca="1">IFERROR(__xludf.DUMMYFUNCTION("IMPORTRANGE(""https://docs.google.com/spreadsheets/d/1-uDff_7J0KD5mKrp0Vvzr7lt3OU09vwQwhkpOPPYv2Y/edit?usp=sharing"",""งบพรบ!AI84"")"),0)</f>
        <v>0</v>
      </c>
      <c r="N68" s="110">
        <f ca="1">IFERROR(__xludf.DUMMYFUNCTION("IMPORTRANGE(""https://docs.google.com/spreadsheets/d/1-uDff_7J0KD5mKrp0Vvzr7lt3OU09vwQwhkpOPPYv2Y/edit?usp=sharing"",""งบพรบ!AK84"")"),0)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IFERROR(__xludf.DUMMYFUNCTION("IMPORTRANGE(""https://docs.google.com/spreadsheets/d/1-uDff_7J0KD5mKrp0Vvzr7lt3OU09vwQwhkpOPPYv2Y/edit?usp=sharing"",""งบพรบ!AM84"")"),0)</f>
        <v>0</v>
      </c>
      <c r="M78" s="46">
        <f ca="1">IFERROR(__xludf.DUMMYFUNCTION("IMPORTRANGE(""https://docs.google.com/spreadsheets/d/1-uDff_7J0KD5mKrp0Vvzr7lt3OU09vwQwhkpOPPYv2Y/edit?usp=sharing"",""งบพรบ!AR84"")"),0)</f>
        <v>0</v>
      </c>
      <c r="N78" s="46">
        <f ca="1">IFERROR(__xludf.DUMMYFUNCTION("IMPORTRANGE(""https://docs.google.com/spreadsheets/d/1-uDff_7J0KD5mKrp0Vvzr7lt3OU09vwQwhkpOPPYv2Y/edit?usp=sharing"",""งบพรบ!AT84"")"),0)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IFERROR(__xludf.DUMMYFUNCTION("IMPORTRANGE(""https://docs.google.com/spreadsheets/d/1ItG2mGa2ceCfYo0BwxsXqNm01IGEUdYcSSLTEv9YCik/edit?usp=sharing"",""เบิกจ่ายกองทุน!AS84"")"),0)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IFERROR(__xludf.DUMMYFUNCTION("IMPORTRANGE(""https://docs.google.com/spreadsheets/d/1ItG2mGa2ceCfYo0BwxsXqNm01IGEUdYcSSLTEv9YCik/edit?usp=sharing"",""เบิกจ่ายกองทุน!AT84"")"),0)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IFERROR(__xludf.DUMMYFUNCTION("IMPORTRANGE(""https://docs.google.com/spreadsheets/d/1ItG2mGa2ceCfYo0BwxsXqNm01IGEUdYcSSLTEv9YCik/edit?usp=sharing"",""เบิกจ่ายกองทุน!AU84"")"),0)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IFERROR(__xludf.DUMMYFUNCTION("IMPORTRANGE(""https://docs.google.com/spreadsheets/d/1-uDff_7J0KD5mKrp0Vvzr7lt3OU09vwQwhkpOPPYv2Y/edit?usp=sharing"",""งบพรบ!AP84"")"),0)</f>
        <v>0</v>
      </c>
      <c r="M81" s="46">
        <f ca="1">IFERROR(__xludf.DUMMYFUNCTION("IMPORTRANGE(""https://docs.google.com/spreadsheets/d/1-uDff_7J0KD5mKrp0Vvzr7lt3OU09vwQwhkpOPPYv2Y/edit?usp=sharing"",""งบพรบ!AS84"")"),0)</f>
        <v>0</v>
      </c>
      <c r="N81" s="46">
        <f ca="1">IFERROR(__xludf.DUMMYFUNCTION("IMPORTRANGE(""https://docs.google.com/spreadsheets/d/1-uDff_7J0KD5mKrp0Vvzr7lt3OU09vwQwhkpOPPYv2Y/edit?usp=sharing"",""งบพรบ!AU84"")"),0)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IFERROR(__xludf.DUMMYFUNCTION("IMPORTRANGE(""https://docs.google.com/spreadsheets/d/1eHaY18a8A9IcSdp1K8H6x8fbOy06t2VsZHhMHf-1x7Y/edit?usp=sharing"",""แผน!H84"")"),0)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IFERROR(__xludf.DUMMYFUNCTION("IMPORTRANGE(""https://docs.google.com/spreadsheets/d/1eHaY18a8A9IcSdp1K8H6x8fbOy06t2VsZHhMHf-1x7Y/edit?usp=sharing"",""แผน!I84"")"),0)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IFERROR(__xludf.DUMMYFUNCTION("IMPORTRANGE(""https://docs.google.com/spreadsheets/d/1eHaY18a8A9IcSdp1K8H6x8fbOy06t2VsZHhMHf-1x7Y/edit?usp=sharing"",""แผน!F84"")"),0)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IFERROR(__xludf.DUMMYFUNCTION("IMPORTRANGE(""https://docs.google.com/spreadsheets/d/1eHaY18a8A9IcSdp1K8H6x8fbOy06t2VsZHhMHf-1x7Y/edit?usp=sharing"",""แผน!G84"")"),0)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IFERROR(__xludf.DUMMYFUNCTION("IMPORTRANGE(""https://docs.google.com/spreadsheets/d/1eHaY18a8A9IcSdp1K8H6x8fbOy06t2VsZHhMHf-1x7Y/edit?usp=sharing"",""แผน!D84"")"),0)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IFERROR(__xludf.DUMMYFUNCTION("IMPORTRANGE(""https://docs.google.com/spreadsheets/d/1eHaY18a8A9IcSdp1K8H6x8fbOy06t2VsZHhMHf-1x7Y/edit?usp=sharing"",""แผน!E84"")"),0)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IFERROR(__xludf.DUMMYFUNCTION("IMPORTRANGE(""https://docs.google.com/spreadsheets/d/1eHaY18a8A9IcSdp1K8H6x8fbOy06t2VsZHhMHf-1x7Y/edit?usp=sharing"",""แผน!J84"")"),0)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IFERROR(__xludf.DUMMYFUNCTION("IMPORTRANGE(""https://docs.google.com/spreadsheets/d/1-uDff_7J0KD5mKrp0Vvzr7lt3OU09vwQwhkpOPPYv2Y/edit?usp=sharing"",""งบพรบ!AW84"")"),0)</f>
        <v>0</v>
      </c>
      <c r="M100" s="46">
        <f ca="1">IFERROR(__xludf.DUMMYFUNCTION("IMPORTRANGE(""https://docs.google.com/spreadsheets/d/1-uDff_7J0KD5mKrp0Vvzr7lt3OU09vwQwhkpOPPYv2Y/edit?usp=sharing"",""งบพรบ!BB84"")"),0)</f>
        <v>0</v>
      </c>
      <c r="N100" s="46">
        <f ca="1">IFERROR(__xludf.DUMMYFUNCTION("IMPORTRANGE(""https://docs.google.com/spreadsheets/d/1-uDff_7J0KD5mKrp0Vvzr7lt3OU09vwQwhkpOPPYv2Y/edit?usp=sharing"",""งบพรบ!BD84"")"),0)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IFERROR(__xludf.DUMMYFUNCTION("IMPORTRANGE(""https://docs.google.com/spreadsheets/d/1ItG2mGa2ceCfYo0BwxsXqNm01IGEUdYcSSLTEv9YCik/edit?usp=sharing"",""เบิกจ่ายกองทุน!AD84"")"),0)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IFERROR(__xludf.DUMMYFUNCTION("IMPORTRANGE(""https://docs.google.com/spreadsheets/d/1ItG2mGa2ceCfYo0BwxsXqNm01IGEUdYcSSLTEv9YCik/edit?usp=sharing"",""เบิกจ่ายกองทุน!AE84"")"),0)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IFERROR(__xludf.DUMMYFUNCTION("IMPORTRANGE(""https://docs.google.com/spreadsheets/d/1ItG2mGa2ceCfYo0BwxsXqNm01IGEUdYcSSLTEv9YCik/edit?usp=sharing"",""เบิกจ่ายกองทุน!AF84"")"),0)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IFERROR(__xludf.DUMMYFUNCTION("IMPORTRANGE(""https://docs.google.com/spreadsheets/d/1-uDff_7J0KD5mKrp0Vvzr7lt3OU09vwQwhkpOPPYv2Y/edit?usp=sharing"",""งบพรบ!AZ84"")"),0)</f>
        <v>0</v>
      </c>
      <c r="M103" s="46">
        <f ca="1">IFERROR(__xludf.DUMMYFUNCTION("IMPORTRANGE(""https://docs.google.com/spreadsheets/d/1-uDff_7J0KD5mKrp0Vvzr7lt3OU09vwQwhkpOPPYv2Y/edit?usp=sharing"",""งบพรบ!BC84"")"),0)</f>
        <v>0</v>
      </c>
      <c r="N103" s="46">
        <f ca="1">IFERROR(__xludf.DUMMYFUNCTION("IMPORTRANGE(""https://docs.google.com/spreadsheets/d/1-uDff_7J0KD5mKrp0Vvzr7lt3OU09vwQwhkpOPPYv2Y/edit?usp=sharing"",""งบพรบ!BE84"")"),0)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IFERROR(__xludf.DUMMYFUNCTION("IMPORTRANGE(""https://docs.google.com/spreadsheets/d/1eHaY18a8A9IcSdp1K8H6x8fbOy06t2VsZHhMHf-1x7Y/edit?usp=sharing"",""แผน!N84"")"),0)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IFERROR(__xludf.DUMMYFUNCTION("IMPORTRANGE(""https://docs.google.com/spreadsheets/d/1eHaY18a8A9IcSdp1K8H6x8fbOy06t2VsZHhMHf-1x7Y/edit?usp=sharing"",""แผน!O84"")"),0)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IFERROR(__xludf.DUMMYFUNCTION("IMPORTRANGE(""https://docs.google.com/spreadsheets/d/1eHaY18a8A9IcSdp1K8H6x8fbOy06t2VsZHhMHf-1x7Y/edit?usp=sharing"",""แผน!R84"")"),0)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15</v>
      </c>
      <c r="J117" s="127">
        <f t="shared" si="72"/>
        <v>15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191460</v>
      </c>
      <c r="R118" s="132">
        <f t="shared" ca="1" si="76"/>
        <v>191460</v>
      </c>
      <c r="S118" s="132">
        <f t="shared" ca="1" si="76"/>
        <v>106453.44</v>
      </c>
      <c r="T118" s="132">
        <f t="shared" ref="T118:T126" ca="1" si="77">IF(Q118&gt;0,S118*100/Q118,0)</f>
        <v>55.600877467878405</v>
      </c>
      <c r="U118" s="132">
        <f t="shared" ref="U118:U126" ca="1" si="78">IF(R118&gt;0,S118*100/R118,0)</f>
        <v>55.600877467878405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191460</v>
      </c>
      <c r="R120" s="46">
        <f t="shared" ca="1" si="80"/>
        <v>191460</v>
      </c>
      <c r="S120" s="46">
        <f t="shared" ca="1" si="80"/>
        <v>106453.44</v>
      </c>
      <c r="T120" s="46">
        <f t="shared" ca="1" si="77"/>
        <v>55.600877467878405</v>
      </c>
      <c r="U120" s="46">
        <f t="shared" ca="1" si="78"/>
        <v>55.600877467878405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191460</v>
      </c>
      <c r="R121" s="46">
        <f t="shared" ca="1" si="82"/>
        <v>191460</v>
      </c>
      <c r="S121" s="46">
        <f t="shared" ca="1" si="82"/>
        <v>106453.44</v>
      </c>
      <c r="T121" s="46">
        <f t="shared" ca="1" si="77"/>
        <v>55.600877467878405</v>
      </c>
      <c r="U121" s="46">
        <f t="shared" ca="1" si="78"/>
        <v>55.600877467878405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IFERROR(__xludf.DUMMYFUNCTION("IMPORTRANGE(""https://docs.google.com/spreadsheets/d/1-uDff_7J0KD5mKrp0Vvzr7lt3OU09vwQwhkpOPPYv2Y/edit?usp=sharing"",""งบพรบ!BG84"")"),0)</f>
        <v>0</v>
      </c>
      <c r="M123" s="46">
        <f ca="1">IFERROR(__xludf.DUMMYFUNCTION("IMPORTRANGE(""https://docs.google.com/spreadsheets/d/1-uDff_7J0KD5mKrp0Vvzr7lt3OU09vwQwhkpOPPYv2Y/edit?usp=sharing"",""งบพรบ!BL84"")"),0)</f>
        <v>0</v>
      </c>
      <c r="N123" s="46">
        <f ca="1">IFERROR(__xludf.DUMMYFUNCTION("IMPORTRANGE(""https://docs.google.com/spreadsheets/d/1-uDff_7J0KD5mKrp0Vvzr7lt3OU09vwQwhkpOPPYv2Y/edit?usp=sharing"",""งบพรบ!BN84"")"),0)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IFERROR(__xludf.DUMMYFUNCTION("IMPORTRANGE(""https://docs.google.com/spreadsheets/d/1ItG2mGa2ceCfYo0BwxsXqNm01IGEUdYcSSLTEv9YCik/edit?usp=sharing"",""เบิกจ่ายกองทุน!R84"")"),191460)</f>
        <v>191460</v>
      </c>
      <c r="R123" s="46">
        <f ca="1">IFERROR(__xludf.DUMMYFUNCTION("IMPORTRANGE(""https://docs.google.com/spreadsheets/d/1ItG2mGa2ceCfYo0BwxsXqNm01IGEUdYcSSLTEv9YCik/edit?usp=sharing"",""เบิกจ่ายกองทุน!S84"")"),191460)</f>
        <v>191460</v>
      </c>
      <c r="S123" s="46">
        <f ca="1">IFERROR(__xludf.DUMMYFUNCTION("IMPORTRANGE(""https://docs.google.com/spreadsheets/d/1ItG2mGa2ceCfYo0BwxsXqNm01IGEUdYcSSLTEv9YCik/edit?usp=sharing"",""เบิกจ่ายกองทุน!T84"")"),106453.44)</f>
        <v>106453.44</v>
      </c>
      <c r="T123" s="46">
        <f t="shared" ca="1" si="77"/>
        <v>55.600877467878405</v>
      </c>
      <c r="U123" s="46">
        <f t="shared" ca="1" si="78"/>
        <v>55.600877467878405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IFERROR(__xludf.DUMMYFUNCTION("IMPORTRANGE(""https://docs.google.com/spreadsheets/d/1-uDff_7J0KD5mKrp0Vvzr7lt3OU09vwQwhkpOPPYv2Y/edit?usp=sharing"",""งบพรบ!BJ84"")"),0)</f>
        <v>0</v>
      </c>
      <c r="M126" s="46">
        <f ca="1">IFERROR(__xludf.DUMMYFUNCTION("IMPORTRANGE(""https://docs.google.com/spreadsheets/d/1-uDff_7J0KD5mKrp0Vvzr7lt3OU09vwQwhkpOPPYv2Y/edit?usp=sharing"",""งบพรบ!BM84"")"),0)</f>
        <v>0</v>
      </c>
      <c r="N126" s="46">
        <f ca="1">IFERROR(__xludf.DUMMYFUNCTION("IMPORTRANGE(""https://docs.google.com/spreadsheets/d/1-uDff_7J0KD5mKrp0Vvzr7lt3OU09vwQwhkpOPPYv2Y/edit?usp=sharing"",""งบพรบ!BO84"")"),0)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IFERROR(__xludf.DUMMYFUNCTION("IMPORTRANGE(""https://docs.google.com/spreadsheets/d/1eHaY18a8A9IcSdp1K8H6x8fbOy06t2VsZHhMHf-1x7Y/edit?usp=sharing"",""แผน!FF84"")"),15)</f>
        <v>15</v>
      </c>
      <c r="J128" s="168">
        <v>15</v>
      </c>
      <c r="K128" s="46">
        <f t="shared" ref="K128:K131" ca="1" si="85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IFERROR(__xludf.DUMMYFUNCTION("IMPORTRANGE(""https://docs.google.com/spreadsheets/d/1eHaY18a8A9IcSdp1K8H6x8fbOy06t2VsZHhMHf-1x7Y/edit?usp=sharing"",""แผน!FG84"")"),0)</f>
        <v>0</v>
      </c>
      <c r="J129" s="168">
        <v>0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IFERROR(__xludf.DUMMYFUNCTION("IMPORTRANGE(""https://docs.google.com/spreadsheets/d/1eHaY18a8A9IcSdp1K8H6x8fbOy06t2VsZHhMHf-1x7Y/edit?usp=sharing"",""แผน!FH84"")"),15)</f>
        <v>15</v>
      </c>
      <c r="J130" s="168">
        <v>15</v>
      </c>
      <c r="K130" s="46">
        <f t="shared" ca="1" si="85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IFERROR(__xludf.DUMMYFUNCTION("IMPORTRANGE(""https://docs.google.com/spreadsheets/d/1eHaY18a8A9IcSdp1K8H6x8fbOy06t2VsZHhMHf-1x7Y/edit?usp=sharing"",""แผน!FI84"")"),0)</f>
        <v>0</v>
      </c>
      <c r="J131" s="168">
        <v>0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0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0</v>
      </c>
      <c r="J138" s="127">
        <f t="shared" si="88"/>
        <v>0</v>
      </c>
      <c r="K138" s="34">
        <f t="shared" ca="1" si="87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0</v>
      </c>
      <c r="J139" s="127">
        <f t="shared" si="88"/>
        <v>0</v>
      </c>
      <c r="K139" s="34">
        <f t="shared" ca="1" si="87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0</v>
      </c>
      <c r="M140" s="132">
        <f t="shared" ca="1" si="89"/>
        <v>0</v>
      </c>
      <c r="N140" s="132">
        <f t="shared" ca="1" si="89"/>
        <v>0</v>
      </c>
      <c r="O140" s="132">
        <f t="shared" ref="O140:O148" ca="1" si="90">IF(L140&gt;0,N140*100/L140,0)</f>
        <v>0</v>
      </c>
      <c r="P140" s="132">
        <f t="shared" ref="P140:P148" ca="1" si="91">IF(M140&gt;0,N140*100/M140,0)</f>
        <v>0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0</v>
      </c>
      <c r="M142" s="46">
        <f t="shared" ca="1" si="95"/>
        <v>0</v>
      </c>
      <c r="N142" s="46">
        <f t="shared" ca="1" si="95"/>
        <v>0</v>
      </c>
      <c r="O142" s="46">
        <f t="shared" ca="1" si="90"/>
        <v>0</v>
      </c>
      <c r="P142" s="46">
        <f t="shared" ca="1" si="91"/>
        <v>0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0</v>
      </c>
      <c r="M143" s="46">
        <f t="shared" ca="1" si="97"/>
        <v>0</v>
      </c>
      <c r="N143" s="46">
        <f t="shared" ca="1" si="97"/>
        <v>0</v>
      </c>
      <c r="O143" s="46">
        <f t="shared" ca="1" si="90"/>
        <v>0</v>
      </c>
      <c r="P143" s="46">
        <f t="shared" ca="1" si="91"/>
        <v>0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IFERROR(__xludf.DUMMYFUNCTION("IMPORTRANGE(""https://docs.google.com/spreadsheets/d/1-uDff_7J0KD5mKrp0Vvzr7lt3OU09vwQwhkpOPPYv2Y/edit?usp=sharing"",""งบพรบ!BQ84"")"),0)</f>
        <v>0</v>
      </c>
      <c r="M145" s="46">
        <f ca="1">IFERROR(__xludf.DUMMYFUNCTION("IMPORTRANGE(""https://docs.google.com/spreadsheets/d/1-uDff_7J0KD5mKrp0Vvzr7lt3OU09vwQwhkpOPPYv2Y/edit?usp=sharing"",""งบพรบ!BV84"")"),0)</f>
        <v>0</v>
      </c>
      <c r="N145" s="46">
        <f ca="1">IFERROR(__xludf.DUMMYFUNCTION("IMPORTRANGE(""https://docs.google.com/spreadsheets/d/1-uDff_7J0KD5mKrp0Vvzr7lt3OU09vwQwhkpOPPYv2Y/edit?usp=sharing"",""งบพรบ!BX84"")"),0)</f>
        <v>0</v>
      </c>
      <c r="O145" s="46">
        <f t="shared" ca="1" si="90"/>
        <v>0</v>
      </c>
      <c r="P145" s="46">
        <f t="shared" ca="1" si="91"/>
        <v>0</v>
      </c>
      <c r="Q145" s="46">
        <f ca="1">IFERROR(__xludf.DUMMYFUNCTION("IMPORTRANGE(""https://docs.google.com/spreadsheets/d/1ItG2mGa2ceCfYo0BwxsXqNm01IGEUdYcSSLTEv9YCik/edit?usp=sharing"",""เบิกจ่ายกองทุน!BB84"")"),0)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IFERROR(__xludf.DUMMYFUNCTION("IMPORTRANGE(""https://docs.google.com/spreadsheets/d/1ItG2mGa2ceCfYo0BwxsXqNm01IGEUdYcSSLTEv9YCik/edit?usp=sharing"",""เบิกจ่ายกองทุน!BC84"")"),0)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IFERROR(__xludf.DUMMYFUNCTION("IMPORTRANGE(""https://docs.google.com/spreadsheets/d/1ItG2mGa2ceCfYo0BwxsXqNm01IGEUdYcSSLTEv9YCik/edit?usp=sharing"",""เบิกจ่ายกองทุน!BD84"")"),0)</f>
        <v>0</v>
      </c>
      <c r="T145" s="46">
        <f t="shared" ca="1" si="93"/>
        <v>0</v>
      </c>
      <c r="U145" s="46">
        <f t="shared" ca="1" si="94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IFERROR(__xludf.DUMMYFUNCTION("IMPORTRANGE(""https://docs.google.com/spreadsheets/d/1-uDff_7J0KD5mKrp0Vvzr7lt3OU09vwQwhkpOPPYv2Y/edit?usp=sharing"",""งบพรบ!BT84"")"),0)</f>
        <v>0</v>
      </c>
      <c r="M148" s="46">
        <f ca="1">IFERROR(__xludf.DUMMYFUNCTION("IMPORTRANGE(""https://docs.google.com/spreadsheets/d/1-uDff_7J0KD5mKrp0Vvzr7lt3OU09vwQwhkpOPPYv2Y/edit?usp=sharing"",""งบพรบ!BW84"")"),0)</f>
        <v>0</v>
      </c>
      <c r="N148" s="46">
        <f ca="1">IFERROR(__xludf.DUMMYFUNCTION("IMPORTRANGE(""https://docs.google.com/spreadsheets/d/1-uDff_7J0KD5mKrp0Vvzr7lt3OU09vwQwhkpOPPYv2Y/edit?usp=sharing"",""งบพรบ!BY84"")"),0)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IFERROR(__xludf.DUMMYFUNCTION("IMPORTRANGE(""https://docs.google.com/spreadsheets/d/1eHaY18a8A9IcSdp1K8H6x8fbOy06t2VsZHhMHf-1x7Y/edit?usp=sharing"",""แผน!U84"")"),0)</f>
        <v>0</v>
      </c>
      <c r="J151" s="168">
        <v>0</v>
      </c>
      <c r="K151" s="46">
        <f t="shared" ref="K151:K155" ca="1" si="101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IFERROR(__xludf.DUMMYFUNCTION("IMPORTRANGE(""https://docs.google.com/spreadsheets/d/1eHaY18a8A9IcSdp1K8H6x8fbOy06t2VsZHhMHf-1x7Y/edit?usp=sharing"",""แผน!V84"")"),0)</f>
        <v>0</v>
      </c>
      <c r="J152" s="168">
        <v>0</v>
      </c>
      <c r="K152" s="46">
        <f t="shared" ca="1" si="101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IFERROR(__xludf.DUMMYFUNCTION("IMPORTRANGE(""https://docs.google.com/spreadsheets/d/1eHaY18a8A9IcSdp1K8H6x8fbOy06t2VsZHhMHf-1x7Y/edit?usp=sharing"",""แผน!W84"")"),0)</f>
        <v>0</v>
      </c>
      <c r="J153" s="168">
        <v>0</v>
      </c>
      <c r="K153" s="46">
        <f t="shared" ca="1" si="101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IFERROR(__xludf.DUMMYFUNCTION("IMPORTRANGE(""https://docs.google.com/spreadsheets/d/1eHaY18a8A9IcSdp1K8H6x8fbOy06t2VsZHhMHf-1x7Y/edit?usp=sharing"",""แผน!X84"")"),0)</f>
        <v>0</v>
      </c>
      <c r="J154" s="168">
        <v>0</v>
      </c>
      <c r="K154" s="46">
        <f t="shared" ca="1" si="101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IFERROR(__xludf.DUMMYFUNCTION("IMPORTRANGE(""https://docs.google.com/spreadsheets/d/1eHaY18a8A9IcSdp1K8H6x8fbOy06t2VsZHhMHf-1x7Y/edit?usp=sharing"",""แผน!Y84"")"),0)</f>
        <v>0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IFERROR(__xludf.DUMMYFUNCTION("IMPORTRANGE(""https://docs.google.com/spreadsheets/d/1-uDff_7J0KD5mKrp0Vvzr7lt3OU09vwQwhkpOPPYv2Y/edit?usp=sharing"",""งบพรบ!CA84"")"),0)</f>
        <v>0</v>
      </c>
      <c r="M163" s="46">
        <f ca="1">IFERROR(__xludf.DUMMYFUNCTION("IMPORTRANGE(""https://docs.google.com/spreadsheets/d/1-uDff_7J0KD5mKrp0Vvzr7lt3OU09vwQwhkpOPPYv2Y/edit?usp=sharing"",""งบพรบ!CF84"")"),0)</f>
        <v>0</v>
      </c>
      <c r="N163" s="46">
        <f ca="1">IFERROR(__xludf.DUMMYFUNCTION("IMPORTRANGE(""https://docs.google.com/spreadsheets/d/1-uDff_7J0KD5mKrp0Vvzr7lt3OU09vwQwhkpOPPYv2Y/edit?usp=sharing"",""งบพรบ!CH84"")"),0)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IFERROR(__xludf.DUMMYFUNCTION("IMPORTRANGE(""https://docs.google.com/spreadsheets/d/1ItG2mGa2ceCfYo0BwxsXqNm01IGEUdYcSSLTEv9YCik/edit?usp=sharing"",""เบิกจ่ายกองทุน!AG84"")"),0)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IFERROR(__xludf.DUMMYFUNCTION("IMPORTRANGE(""https://docs.google.com/spreadsheets/d/1ItG2mGa2ceCfYo0BwxsXqNm01IGEUdYcSSLTEv9YCik/edit?usp=sharing"",""เบิกจ่ายกองทุน!AH84"")"),0)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IFERROR(__xludf.DUMMYFUNCTION("IMPORTRANGE(""https://docs.google.com/spreadsheets/d/1ItG2mGa2ceCfYo0BwxsXqNm01IGEUdYcSSLTEv9YCik/edit?usp=sharing"",""เบิกจ่ายกองทุน!AI84"")"),0)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IFERROR(__xludf.DUMMYFUNCTION("IMPORTRANGE(""https://docs.google.com/spreadsheets/d/1-uDff_7J0KD5mKrp0Vvzr7lt3OU09vwQwhkpOPPYv2Y/edit?usp=sharing"",""งบพรบ!CD84"")"),0)</f>
        <v>0</v>
      </c>
      <c r="M166" s="46">
        <f ca="1">IFERROR(__xludf.DUMMYFUNCTION("IMPORTRANGE(""https://docs.google.com/spreadsheets/d/1-uDff_7J0KD5mKrp0Vvzr7lt3OU09vwQwhkpOPPYv2Y/edit?usp=sharing"",""งบพรบ!CG84"")"),0)</f>
        <v>0</v>
      </c>
      <c r="N166" s="46">
        <f ca="1">IFERROR(__xludf.DUMMYFUNCTION("IMPORTRANGE(""https://docs.google.com/spreadsheets/d/1-uDff_7J0KD5mKrp0Vvzr7lt3OU09vwQwhkpOPPYv2Y/edit?usp=sharing"",""งบพรบ!CI84"")"),0)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IFERROR(__xludf.DUMMYFUNCTION("IMPORTRANGE(""https://docs.google.com/spreadsheets/d/1eHaY18a8A9IcSdp1K8H6x8fbOy06t2VsZHhMHf-1x7Y/edit?usp=sharing"",""แผน!Z84"")"),0)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IFERROR(__xludf.DUMMYFUNCTION("IMPORTRANGE(""https://docs.google.com/spreadsheets/d/1eHaY18a8A9IcSdp1K8H6x8fbOy06t2VsZHhMHf-1x7Y/edit?usp=sharing"",""แผน!Z84"")"),0)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IFERROR(__xludf.DUMMYFUNCTION("IMPORTRANGE(""https://docs.google.com/spreadsheets/d/1eHaY18a8A9IcSdp1K8H6x8fbOy06t2VsZHhMHf-1x7Y/edit?usp=sharing"",""แผน!Z84"")"),0)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7</v>
      </c>
      <c r="J173" s="221">
        <f t="shared" si="116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19590</v>
      </c>
      <c r="M174" s="132">
        <f t="shared" ca="1" si="117"/>
        <v>41020</v>
      </c>
      <c r="N174" s="132">
        <f t="shared" ca="1" si="117"/>
        <v>41020</v>
      </c>
      <c r="O174" s="132">
        <f t="shared" ref="O174:O182" ca="1" si="118">IF(L174&gt;0,N174*100/L174,0)</f>
        <v>209.39254721796834</v>
      </c>
      <c r="P174" s="132">
        <f t="shared" ref="P174:P182" ca="1" si="119">IF(M174&gt;0,N174*100/M174,0)</f>
        <v>100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19590</v>
      </c>
      <c r="M176" s="46">
        <f t="shared" ca="1" si="123"/>
        <v>41020</v>
      </c>
      <c r="N176" s="46">
        <f t="shared" ca="1" si="123"/>
        <v>41020</v>
      </c>
      <c r="O176" s="46">
        <f t="shared" ca="1" si="118"/>
        <v>209.39254721796834</v>
      </c>
      <c r="P176" s="46">
        <f t="shared" ca="1" si="119"/>
        <v>100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19590</v>
      </c>
      <c r="M177" s="46">
        <f t="shared" ca="1" si="125"/>
        <v>41020</v>
      </c>
      <c r="N177" s="46">
        <f t="shared" ca="1" si="125"/>
        <v>41020</v>
      </c>
      <c r="O177" s="46">
        <f t="shared" ca="1" si="118"/>
        <v>209.39254721796834</v>
      </c>
      <c r="P177" s="46">
        <f t="shared" ca="1" si="119"/>
        <v>100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IFERROR(__xludf.DUMMYFUNCTION("IMPORTRANGE(""https://docs.google.com/spreadsheets/d/1-uDff_7J0KD5mKrp0Vvzr7lt3OU09vwQwhkpOPPYv2Y/edit?usp=sharing"",""งบพรบ!CK84"")"),19590)</f>
        <v>19590</v>
      </c>
      <c r="M179" s="46">
        <f ca="1">IFERROR(__xludf.DUMMYFUNCTION("IMPORTRANGE(""https://docs.google.com/spreadsheets/d/1-uDff_7J0KD5mKrp0Vvzr7lt3OU09vwQwhkpOPPYv2Y/edit?usp=sharing"",""งบพรบ!CP84"")"),41020)</f>
        <v>41020</v>
      </c>
      <c r="N179" s="46">
        <f ca="1">IFERROR(__xludf.DUMMYFUNCTION("IMPORTRANGE(""https://docs.google.com/spreadsheets/d/1-uDff_7J0KD5mKrp0Vvzr7lt3OU09vwQwhkpOPPYv2Y/edit?usp=sharing"",""งบพรบ!CR84"")"),41020)</f>
        <v>41020</v>
      </c>
      <c r="O179" s="46">
        <f t="shared" ca="1" si="118"/>
        <v>209.39254721796834</v>
      </c>
      <c r="P179" s="46">
        <f t="shared" ca="1" si="119"/>
        <v>100</v>
      </c>
      <c r="Q179" s="46">
        <f ca="1">IFERROR(__xludf.DUMMYFUNCTION("IMPORTRANGE(""https://docs.google.com/spreadsheets/d/1ItG2mGa2ceCfYo0BwxsXqNm01IGEUdYcSSLTEv9YCik/edit?usp=sharing"",""เบิกจ่ายกองทุน!BE84"")"),0)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IFERROR(__xludf.DUMMYFUNCTION("IMPORTRANGE(""https://docs.google.com/spreadsheets/d/1ItG2mGa2ceCfYo0BwxsXqNm01IGEUdYcSSLTEv9YCik/edit?usp=sharing"",""เบิกจ่ายกองทุน!BF84"")"),0)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IFERROR(__xludf.DUMMYFUNCTION("IMPORTRANGE(""https://docs.google.com/spreadsheets/d/1ItG2mGa2ceCfYo0BwxsXqNm01IGEUdYcSSLTEv9YCik/edit?usp=sharing"",""เบิกจ่ายกองทุน!BG84"")"),0)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IFERROR(__xludf.DUMMYFUNCTION("IMPORTRANGE(""https://docs.google.com/spreadsheets/d/1-uDff_7J0KD5mKrp0Vvzr7lt3OU09vwQwhkpOPPYv2Y/edit?usp=sharing"",""งบพรบ!CN84"")"),0)</f>
        <v>0</v>
      </c>
      <c r="M182" s="46">
        <f ca="1">IFERROR(__xludf.DUMMYFUNCTION("IMPORTRANGE(""https://docs.google.com/spreadsheets/d/1-uDff_7J0KD5mKrp0Vvzr7lt3OU09vwQwhkpOPPYv2Y/edit?usp=sharing"",""งบพรบ!CQ84"")"),0)</f>
        <v>0</v>
      </c>
      <c r="N182" s="46">
        <f ca="1">IFERROR(__xludf.DUMMYFUNCTION("IMPORTRANGE(""https://docs.google.com/spreadsheets/d/1-uDff_7J0KD5mKrp0Vvzr7lt3OU09vwQwhkpOPPYv2Y/edit?usp=sharing"",""งบพรบ!CS84"")"),0)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IFERROR(__xludf.DUMMYFUNCTION("IMPORTRANGE(""https://docs.google.com/spreadsheets/d/1eHaY18a8A9IcSdp1K8H6x8fbOy06t2VsZHhMHf-1x7Y/edit?usp=sharing"",""แผน!AA84"")"),7)</f>
        <v>7</v>
      </c>
      <c r="J184" s="168">
        <v>7</v>
      </c>
      <c r="K184" s="46">
        <f t="shared" ref="K184:K186" ca="1" si="129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0</v>
      </c>
      <c r="J186" s="221">
        <f t="shared" si="130"/>
        <v>0</v>
      </c>
      <c r="K186" s="222">
        <f t="shared" ca="1" si="129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105500</v>
      </c>
      <c r="M187" s="132">
        <f t="shared" ca="1" si="131"/>
        <v>97500</v>
      </c>
      <c r="N187" s="132">
        <f t="shared" ca="1" si="131"/>
        <v>78179.520000000004</v>
      </c>
      <c r="O187" s="132">
        <f t="shared" ref="O187:O195" ca="1" si="132">IF(L187&gt;0,N187*100/L187,0)</f>
        <v>74.103810426540278</v>
      </c>
      <c r="P187" s="132">
        <f t="shared" ref="P187:P195" ca="1" si="133">IF(M187&gt;0,N187*100/M187,0)</f>
        <v>80.184123076923072</v>
      </c>
      <c r="Q187" s="132">
        <f t="shared" ref="Q187:S187" ca="1" si="134">Q188+Q189</f>
        <v>14000</v>
      </c>
      <c r="R187" s="132">
        <f t="shared" ca="1" si="134"/>
        <v>14000</v>
      </c>
      <c r="S187" s="132">
        <f t="shared" ca="1" si="134"/>
        <v>14000</v>
      </c>
      <c r="T187" s="132">
        <f t="shared" ref="T187:T195" ca="1" si="135">IF(Q187&gt;0,S187*100/Q187,0)</f>
        <v>100</v>
      </c>
      <c r="U187" s="132">
        <f t="shared" ref="U187:U195" ca="1" si="136">IF(R187&gt;0,S187*100/R187,0)</f>
        <v>100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105500</v>
      </c>
      <c r="M189" s="46">
        <f t="shared" ca="1" si="137"/>
        <v>97500</v>
      </c>
      <c r="N189" s="46">
        <f t="shared" ca="1" si="137"/>
        <v>78179.520000000004</v>
      </c>
      <c r="O189" s="46">
        <f t="shared" ca="1" si="132"/>
        <v>74.103810426540278</v>
      </c>
      <c r="P189" s="46">
        <f t="shared" ca="1" si="133"/>
        <v>80.184123076923072</v>
      </c>
      <c r="Q189" s="46">
        <f t="shared" ca="1" si="138"/>
        <v>14000</v>
      </c>
      <c r="R189" s="46">
        <f t="shared" ca="1" si="138"/>
        <v>14000</v>
      </c>
      <c r="S189" s="46">
        <f t="shared" ca="1" si="138"/>
        <v>14000</v>
      </c>
      <c r="T189" s="46">
        <f t="shared" ca="1" si="135"/>
        <v>100</v>
      </c>
      <c r="U189" s="46">
        <f t="shared" ca="1" si="136"/>
        <v>100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105500</v>
      </c>
      <c r="M190" s="46">
        <f t="shared" ca="1" si="139"/>
        <v>97500</v>
      </c>
      <c r="N190" s="46">
        <f t="shared" ca="1" si="139"/>
        <v>78179.520000000004</v>
      </c>
      <c r="O190" s="46">
        <f t="shared" ca="1" si="132"/>
        <v>74.103810426540278</v>
      </c>
      <c r="P190" s="46">
        <f t="shared" ca="1" si="133"/>
        <v>80.184123076923072</v>
      </c>
      <c r="Q190" s="46">
        <f t="shared" ref="Q190:S190" ca="1" si="140">Q191+Q192</f>
        <v>14000</v>
      </c>
      <c r="R190" s="46">
        <f t="shared" ca="1" si="140"/>
        <v>14000</v>
      </c>
      <c r="S190" s="46">
        <f t="shared" ca="1" si="140"/>
        <v>14000</v>
      </c>
      <c r="T190" s="46">
        <f t="shared" ca="1" si="135"/>
        <v>100</v>
      </c>
      <c r="U190" s="46">
        <f t="shared" ca="1" si="136"/>
        <v>100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IFERROR(__xludf.DUMMYFUNCTION("IMPORTRANGE(""https://docs.google.com/spreadsheets/d/1-uDff_7J0KD5mKrp0Vvzr7lt3OU09vwQwhkpOPPYv2Y/edit?usp=sharing"",""งบพรบ!CU84"")"),105500)</f>
        <v>105500</v>
      </c>
      <c r="M192" s="46">
        <f ca="1">IFERROR(__xludf.DUMMYFUNCTION("IMPORTRANGE(""https://docs.google.com/spreadsheets/d/1-uDff_7J0KD5mKrp0Vvzr7lt3OU09vwQwhkpOPPYv2Y/edit?usp=sharing"",""งบพรบ!CZ84"")"),97500)</f>
        <v>97500</v>
      </c>
      <c r="N192" s="46">
        <f ca="1">IFERROR(__xludf.DUMMYFUNCTION("IMPORTRANGE(""https://docs.google.com/spreadsheets/d/1-uDff_7J0KD5mKrp0Vvzr7lt3OU09vwQwhkpOPPYv2Y/edit?usp=sharing"",""งบพรบ!DB84"")"),78179.52)</f>
        <v>78179.520000000004</v>
      </c>
      <c r="O192" s="46">
        <f t="shared" ca="1" si="132"/>
        <v>74.103810426540278</v>
      </c>
      <c r="P192" s="46">
        <f t="shared" ca="1" si="133"/>
        <v>80.184123076923072</v>
      </c>
      <c r="Q192" s="46">
        <f ca="1">IFERROR(__xludf.DUMMYFUNCTION("IMPORTRANGE(""https://docs.google.com/spreadsheets/d/1ItG2mGa2ceCfYo0BwxsXqNm01IGEUdYcSSLTEv9YCik/edit?usp=sharing"",""เบิกจ่ายกองทุน!AV84"")"),14000)</f>
        <v>14000</v>
      </c>
      <c r="R192" s="46">
        <f ca="1">IFERROR(__xludf.DUMMYFUNCTION("IMPORTRANGE(""https://docs.google.com/spreadsheets/d/1ItG2mGa2ceCfYo0BwxsXqNm01IGEUdYcSSLTEv9YCik/edit?usp=sharing"",""เบิกจ่ายกองทุน!AW84"")"),14000)</f>
        <v>14000</v>
      </c>
      <c r="S192" s="46">
        <f ca="1">IFERROR(__xludf.DUMMYFUNCTION("IMPORTRANGE(""https://docs.google.com/spreadsheets/d/1ItG2mGa2ceCfYo0BwxsXqNm01IGEUdYcSSLTEv9YCik/edit?usp=sharing"",""เบิกจ่ายกองทุน!AX84"")"),14000)</f>
        <v>14000</v>
      </c>
      <c r="T192" s="46">
        <f t="shared" ca="1" si="135"/>
        <v>100</v>
      </c>
      <c r="U192" s="46">
        <f t="shared" ca="1" si="136"/>
        <v>100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IFERROR(__xludf.DUMMYFUNCTION("IMPORTRANGE(""https://docs.google.com/spreadsheets/d/1-uDff_7J0KD5mKrp0Vvzr7lt3OU09vwQwhkpOPPYv2Y/edit?usp=sharing"",""งบพรบ!CX84"")"),0)</f>
        <v>0</v>
      </c>
      <c r="M195" s="46">
        <f ca="1">IFERROR(__xludf.DUMMYFUNCTION("IMPORTRANGE(""https://docs.google.com/spreadsheets/d/1-uDff_7J0KD5mKrp0Vvzr7lt3OU09vwQwhkpOPPYv2Y/edit?usp=sharing"",""งบพรบ!DA84"")"),0)</f>
        <v>0</v>
      </c>
      <c r="N195" s="46">
        <f ca="1">IFERROR(__xludf.DUMMYFUNCTION("IMPORTRANGE(""https://docs.google.com/spreadsheets/d/1-uDff_7J0KD5mKrp0Vvzr7lt3OU09vwQwhkpOPPYv2Y/edit?usp=sharing"",""งบพรบ!DC84"")"),0)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IFERROR(__xludf.DUMMYFUNCTION("IMPORTRANGE(""https://docs.google.com/spreadsheets/d/1eHaY18a8A9IcSdp1K8H6x8fbOy06t2VsZHhMHf-1x7Y/edit?usp=sharing"",""แผน!AB84"")"),6000)</f>
        <v>6000</v>
      </c>
      <c r="M197" s="45"/>
      <c r="N197" s="564">
        <v>1980</v>
      </c>
      <c r="O197" s="132">
        <f ca="1">IF(L197&gt;0,N197*100/L197,0)</f>
        <v>33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IFERROR(__xludf.DUMMYFUNCTION("IMPORTRANGE(""https://docs.google.com/spreadsheets/d/1eHaY18a8A9IcSdp1K8H6x8fbOy06t2VsZHhMHf-1x7Y/edit?usp=sharing"",""แผน!AE84"")"),4)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132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132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1</v>
      </c>
      <c r="J203" s="235">
        <f t="shared" si="144"/>
        <v>1</v>
      </c>
      <c r="K203" s="236">
        <f ca="1">IF(I203&gt;0,J203*100/I203,0)</f>
        <v>100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IFERROR(__xludf.DUMMYFUNCTION("IMPORTRANGE(""https://docs.google.com/spreadsheets/d/1eHaY18a8A9IcSdp1K8H6x8fbOy06t2VsZHhMHf-1x7Y/edit?usp=sharing"",""แผน!AG84"")"),1000)</f>
        <v>1000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IFERROR(__xludf.DUMMYFUNCTION("IMPORTRANGE(""https://docs.google.com/spreadsheets/d/1eHaY18a8A9IcSdp1K8H6x8fbOy06t2VsZHhMHf-1x7Y/edit?usp=sharing"",""แผน!AH84"")"),0)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IFERROR(__xludf.DUMMYFUNCTION("IMPORTRANGE(""https://docs.google.com/spreadsheets/d/1eHaY18a8A9IcSdp1K8H6x8fbOy06t2VsZHhMHf-1x7Y/edit?usp=sharing"",""แผน!AI84"")"),0)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IFERROR(__xludf.DUMMYFUNCTION("IMPORTRANGE(""https://docs.google.com/spreadsheets/d/1eHaY18a8A9IcSdp1K8H6x8fbOy06t2VsZHhMHf-1x7Y/edit?usp=sharing"",""แผน!AJ84"")"),4000)</f>
        <v>4000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IFERROR(__xludf.DUMMYFUNCTION("IMPORTRANGE(""https://docs.google.com/spreadsheets/d/1eHaY18a8A9IcSdp1K8H6x8fbOy06t2VsZHhMHf-1x7Y/edit?usp=sharing"",""แผน!AK84"")"),1)</f>
        <v>1</v>
      </c>
      <c r="J210" s="168">
        <v>1</v>
      </c>
      <c r="K210" s="153">
        <f ca="1">IF(I210&gt;0,J210*100/I210,0)</f>
        <v>100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IFERROR(__xludf.DUMMYFUNCTION("IMPORTRANGE(""https://docs.google.com/spreadsheets/d/1eHaY18a8A9IcSdp1K8H6x8fbOy06t2VsZHhMHf-1x7Y/edit?usp=sharing"",""แผน!JX84"")"),1)</f>
        <v>1</v>
      </c>
      <c r="J212" s="168">
        <v>1</v>
      </c>
      <c r="K212" s="153">
        <f t="shared" ref="K212:K214" ca="1" si="145">IF(I212&gt;0,J212*100/I212,0)</f>
        <v>100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IFERROR(__xludf.DUMMYFUNCTION("IMPORTRANGE(""https://docs.google.com/spreadsheets/d/1eHaY18a8A9IcSdp1K8H6x8fbOy06t2VsZHhMHf-1x7Y/edit?usp=sharing"",""แผน!JY84"")"),0)</f>
        <v>0</v>
      </c>
      <c r="J213" s="168"/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0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IFERROR(__xludf.DUMMYFUNCTION("IMPORTRANGE(""https://docs.google.com/spreadsheets/d/1eHaY18a8A9IcSdp1K8H6x8fbOy06t2VsZHhMHf-1x7Y/edit?usp=sharing"",""แผน!AM84"")"),0)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IFERROR(__xludf.DUMMYFUNCTION("IMPORTRANGE(""https://docs.google.com/spreadsheets/d/1eHaY18a8A9IcSdp1K8H6x8fbOy06t2VsZHhMHf-1x7Y/edit?usp=sharing"",""แผน!AN84"")"),0)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IFERROR(__xludf.DUMMYFUNCTION("IMPORTRANGE(""https://docs.google.com/spreadsheets/d/1eHaY18a8A9IcSdp1K8H6x8fbOy06t2VsZHhMHf-1x7Y/edit?usp=sharing"",""แผน!AO84"")"),0)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IFERROR(__xludf.DUMMYFUNCTION("IMPORTRANGE(""https://docs.google.com/spreadsheets/d/1eHaY18a8A9IcSdp1K8H6x8fbOy06t2VsZHhMHf-1x7Y/edit?usp=sharing"",""แผน!AP84"")"),0)</f>
        <v>0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12000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IFERROR(__xludf.DUMMYFUNCTION("IMPORTRANGE(""https://docs.google.com/spreadsheets/d/1eHaY18a8A9IcSdp1K8H6x8fbOy06t2VsZHhMHf-1x7Y/edit?usp=sharing"",""แผน!AR84"")"),2500)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IFERROR(__xludf.DUMMYFUNCTION("IMPORTRANGE(""https://docs.google.com/spreadsheets/d/1eHaY18a8A9IcSdp1K8H6x8fbOy06t2VsZHhMHf-1x7Y/edit?usp=sharing"",""แผน!AS84"")"),2000)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IFERROR(__xludf.DUMMYFUNCTION("IMPORTRANGE(""https://docs.google.com/spreadsheets/d/1eHaY18a8A9IcSdp1K8H6x8fbOy06t2VsZHhMHf-1x7Y/edit?usp=sharing"",""แผน!AT84"")"),0)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IFERROR(__xludf.DUMMYFUNCTION("IMPORTRANGE(""https://docs.google.com/spreadsheets/d/1eHaY18a8A9IcSdp1K8H6x8fbOy06t2VsZHhMHf-1x7Y/edit?usp=sharing"",""แผน!AV84"")"),12000)</f>
        <v>12000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IFERROR(__xludf.DUMMYFUNCTION("IMPORTRANGE(""https://docs.google.com/spreadsheets/d/1eHaY18a8A9IcSdp1K8H6x8fbOy06t2VsZHhMHf-1x7Y/edit?usp=sharing"",""แผน!AU84"")"),0)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0</v>
      </c>
      <c r="J232" s="573">
        <f t="shared" si="150"/>
        <v>0</v>
      </c>
      <c r="K232" s="574">
        <f t="shared" ca="1" si="149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0</v>
      </c>
      <c r="M233" s="45"/>
      <c r="N233" s="583">
        <f t="shared" ref="N233:N237" si="152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0</v>
      </c>
      <c r="M234" s="45"/>
      <c r="N234" s="48">
        <f t="shared" si="152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0</v>
      </c>
      <c r="M235" s="45"/>
      <c r="N235" s="48">
        <f t="shared" si="152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0</v>
      </c>
      <c r="M236" s="45"/>
      <c r="N236" s="48">
        <f t="shared" si="152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0</v>
      </c>
      <c r="J239" s="340">
        <f t="shared" si="153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4">I252+I263</f>
        <v>0</v>
      </c>
      <c r="J241" s="340">
        <f t="shared" si="154"/>
        <v>0</v>
      </c>
      <c r="K241" s="48">
        <f t="shared" ref="K241:K243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4"/>
        <v>0</v>
      </c>
      <c r="J242" s="340">
        <f t="shared" si="154"/>
        <v>0</v>
      </c>
      <c r="K242" s="48">
        <f t="shared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6">I250</f>
        <v>0</v>
      </c>
      <c r="J243" s="573">
        <f t="shared" si="156"/>
        <v>0</v>
      </c>
      <c r="K243" s="574">
        <f t="shared" ca="1" si="155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IFERROR(__xludf.DUMMYFUNCTION("IMPORTRANGE(""https://docs.google.com/spreadsheets/d/1eHaY18a8A9IcSdp1K8H6x8fbOy06t2VsZHhMHf-1x7Y/edit?usp=sharing"",""แผน!AX84"")"),0)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IFERROR(__xludf.DUMMYFUNCTION("IMPORTRANGE(""https://docs.google.com/spreadsheets/d/1eHaY18a8A9IcSdp1K8H6x8fbOy06t2VsZHhMHf-1x7Y/edit?usp=sharing"",""แผน!AY84"")"),0)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IFERROR(__xludf.DUMMYFUNCTION("IMPORTRANGE(""https://docs.google.com/spreadsheets/d/1eHaY18a8A9IcSdp1K8H6x8fbOy06t2VsZHhMHf-1x7Y/edit?usp=sharing"",""แผน!AZ84"")"),0)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IFERROR(__xludf.DUMMYFUNCTION("IMPORTRANGE(""https://docs.google.com/spreadsheets/d/1eHaY18a8A9IcSdp1K8H6x8fbOy06t2VsZHhMHf-1x7Y/edit?usp=sharing"",""แผน!BA84"")"),0)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IFERROR(__xludf.DUMMYFUNCTION("IMPORTRANGE(""https://docs.google.com/spreadsheets/d/1eHaY18a8A9IcSdp1K8H6x8fbOy06t2VsZHhMHf-1x7Y/edit?usp=sharing"",""แผน!BG84"")"),0)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IFERROR(__xludf.DUMMYFUNCTION("IMPORTRANGE(""https://docs.google.com/spreadsheets/d/1eHaY18a8A9IcSdp1K8H6x8fbOy06t2VsZHhMHf-1x7Y/edit?usp=sharing"",""แผน!BB84"")"),0)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IFERROR(__xludf.DUMMYFUNCTION("IMPORTRANGE(""https://docs.google.com/spreadsheets/d/1eHaY18a8A9IcSdp1K8H6x8fbOy06t2VsZHhMHf-1x7Y/edit?usp=sharing"",""แผน!BC84"")"),0)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IFERROR(__xludf.DUMMYFUNCTION("IMPORTRANGE(""https://docs.google.com/spreadsheets/d/1eHaY18a8A9IcSdp1K8H6x8fbOy06t2VsZHhMHf-1x7Y/edit?usp=sharing"",""แผน!BD84"")"),0)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IFERROR(__xludf.DUMMYFUNCTION("IMPORTRANGE(""https://docs.google.com/spreadsheets/d/1eHaY18a8A9IcSdp1K8H6x8fbOy06t2VsZHhMHf-1x7Y/edit?usp=sharing"",""แผน!BE84"")"),0)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IFERROR(__xludf.DUMMYFUNCTION("IMPORTRANGE(""https://docs.google.com/spreadsheets/d/1eHaY18a8A9IcSdp1K8H6x8fbOy06t2VsZHhMHf-1x7Y/edit?usp=sharing"",""แผน!BH84"")"),0)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20</v>
      </c>
      <c r="J266" s="613">
        <f t="shared" si="160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47880</v>
      </c>
      <c r="R267" s="626">
        <f t="shared" ca="1" si="164"/>
        <v>47880</v>
      </c>
      <c r="S267" s="626">
        <f t="shared" ca="1" si="164"/>
        <v>0</v>
      </c>
      <c r="T267" s="626">
        <f t="shared" ref="T267:T275" ca="1" si="165">IF(Q267&gt;0,S267*100/Q267,0)</f>
        <v>0</v>
      </c>
      <c r="U267" s="626">
        <f t="shared" ref="U267:U275" ca="1" si="166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47880</v>
      </c>
      <c r="R269" s="630">
        <f t="shared" ca="1" si="168"/>
        <v>47880</v>
      </c>
      <c r="S269" s="630">
        <f t="shared" ca="1" si="168"/>
        <v>0</v>
      </c>
      <c r="T269" s="630">
        <f t="shared" ca="1" si="165"/>
        <v>0</v>
      </c>
      <c r="U269" s="630">
        <f t="shared" ca="1" si="166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47880</v>
      </c>
      <c r="R270" s="630">
        <f t="shared" ca="1" si="170"/>
        <v>47880</v>
      </c>
      <c r="S270" s="630">
        <f t="shared" ca="1" si="170"/>
        <v>0</v>
      </c>
      <c r="T270" s="630">
        <f t="shared" ca="1" si="165"/>
        <v>0</v>
      </c>
      <c r="U270" s="630">
        <f t="shared" ca="1" si="166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IFERROR(__xludf.DUMMYFUNCTION("IMPORTRANGE(""https://docs.google.com/spreadsheets/d/1-uDff_7J0KD5mKrp0Vvzr7lt3OU09vwQwhkpOPPYv2Y/edit?usp=sharing"",""งบพรบ!DE84"")"),0)</f>
        <v>0</v>
      </c>
      <c r="M272" s="630">
        <f ca="1">IFERROR(__xludf.DUMMYFUNCTION("IMPORTRANGE(""https://docs.google.com/spreadsheets/d/1-uDff_7J0KD5mKrp0Vvzr7lt3OU09vwQwhkpOPPYv2Y/edit?usp=sharing"",""งบพรบ!DJ84"")"),5000)</f>
        <v>5000</v>
      </c>
      <c r="N272" s="630">
        <f ca="1">IFERROR(__xludf.DUMMYFUNCTION("IMPORTRANGE(""https://docs.google.com/spreadsheets/d/1-uDff_7J0KD5mKrp0Vvzr7lt3OU09vwQwhkpOPPYv2Y/edit?usp=sharing"",""งบพรบ!DL84"")"),0)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IFERROR(__xludf.DUMMYFUNCTION("IMPORTRANGE(""https://docs.google.com/spreadsheets/d/1ItG2mGa2ceCfYo0BwxsXqNm01IGEUdYcSSLTEv9YCik/edit?usp=sharing"",""เบิกจ่ายกองทุน!AJ84"")"),47880)</f>
        <v>47880</v>
      </c>
      <c r="R272" s="630">
        <f ca="1">IFERROR(__xludf.DUMMYFUNCTION("IMPORTRANGE(""https://docs.google.com/spreadsheets/d/1ItG2mGa2ceCfYo0BwxsXqNm01IGEUdYcSSLTEv9YCik/edit?usp=sharing"",""เบิกจ่ายกองทุน!AK84"")"),47880)</f>
        <v>47880</v>
      </c>
      <c r="S272" s="630">
        <f ca="1">IFERROR(__xludf.DUMMYFUNCTION("IMPORTRANGE(""https://docs.google.com/spreadsheets/d/1ItG2mGa2ceCfYo0BwxsXqNm01IGEUdYcSSLTEv9YCik/edit?usp=sharing"",""เบิกจ่ายกองทุน!AL84"")"),0)</f>
        <v>0</v>
      </c>
      <c r="T272" s="630">
        <f t="shared" ca="1" si="165"/>
        <v>0</v>
      </c>
      <c r="U272" s="630">
        <f t="shared" ca="1" si="166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IFERROR(__xludf.DUMMYFUNCTION("IMPORTRANGE(""https://docs.google.com/spreadsheets/d/1-uDff_7J0KD5mKrp0Vvzr7lt3OU09vwQwhkpOPPYv2Y/edit?usp=sharing"",""งบพรบ!DH84"")"),0)</f>
        <v>0</v>
      </c>
      <c r="M275" s="630">
        <f ca="1">IFERROR(__xludf.DUMMYFUNCTION("IMPORTRANGE(""https://docs.google.com/spreadsheets/d/1-uDff_7J0KD5mKrp0Vvzr7lt3OU09vwQwhkpOPPYv2Y/edit?usp=sharing"",""งบพรบ!DK84"")"),0)</f>
        <v>0</v>
      </c>
      <c r="N275" s="630">
        <f ca="1">IFERROR(__xludf.DUMMYFUNCTION("IMPORTRANGE(""https://docs.google.com/spreadsheets/d/1-uDff_7J0KD5mKrp0Vvzr7lt3OU09vwQwhkpOPPYv2Y/edit?usp=sharing"",""งบพรบ!DM84"")"),0)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IFERROR(__xludf.DUMMYFUNCTION("IMPORTRANGE(""https://docs.google.com/spreadsheets/d/1eHaY18a8A9IcSdp1K8H6x8fbOy06t2VsZHhMHf-1x7Y/edit?usp=sharing"",""แผน!EC84"")"),20)</f>
        <v>20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IFERROR(__xludf.DUMMYFUNCTION("IMPORTRANGE(""https://docs.google.com/spreadsheets/d/1-uDff_7J0KD5mKrp0Vvzr7lt3OU09vwQwhkpOPPYv2Y/edit?usp=sharing"",""งบพรบ!DO84"")"),0)</f>
        <v>0</v>
      </c>
      <c r="M288" s="46">
        <f ca="1">IFERROR(__xludf.DUMMYFUNCTION("IMPORTRANGE(""https://docs.google.com/spreadsheets/d/1-uDff_7J0KD5mKrp0Vvzr7lt3OU09vwQwhkpOPPYv2Y/edit?usp=sharing"",""งบพรบ!DT84"")"),0)</f>
        <v>0</v>
      </c>
      <c r="N288" s="46">
        <f ca="1">IFERROR(__xludf.DUMMYFUNCTION("IMPORTRANGE(""https://docs.google.com/spreadsheets/d/1-uDff_7J0KD5mKrp0Vvzr7lt3OU09vwQwhkpOPPYv2Y/edit?usp=sharing"",""งบพรบ!DV84"")"),0)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IFERROR(__xludf.DUMMYFUNCTION("IMPORTRANGE(""https://docs.google.com/spreadsheets/d/1-uDff_7J0KD5mKrp0Vvzr7lt3OU09vwQwhkpOPPYv2Y/edit?usp=sharing"",""งบพรบ!DR84"")"),0)</f>
        <v>0</v>
      </c>
      <c r="M291" s="46">
        <f ca="1">IFERROR(__xludf.DUMMYFUNCTION("IMPORTRANGE(""https://docs.google.com/spreadsheets/d/1-uDff_7J0KD5mKrp0Vvzr7lt3OU09vwQwhkpOPPYv2Y/edit?usp=sharing"",""งบพรบ!DU84"")"),0)</f>
        <v>0</v>
      </c>
      <c r="N291" s="46">
        <f ca="1">IFERROR(__xludf.DUMMYFUNCTION("IMPORTRANGE(""https://docs.google.com/spreadsheets/d/1-uDff_7J0KD5mKrp0Vvzr7lt3OU09vwQwhkpOPPYv2Y/edit?usp=sharing"",""งบพรบ!DW84"")"),0)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IFERROR(__xludf.DUMMYFUNCTION("IMPORTRANGE(""https://docs.google.com/spreadsheets/d/1eHaY18a8A9IcSdp1K8H6x8fbOy06t2VsZHhMHf-1x7Y/edit?usp=sharing"",""แผน!EE84"")"),0)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IFERROR(__xludf.DUMMYFUNCTION("IMPORTRANGE(""https://docs.google.com/spreadsheets/d/1eHaY18a8A9IcSdp1K8H6x8fbOy06t2VsZHhMHf-1x7Y/edit?usp=sharing"",""แผน!ED84"")"),0)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IFERROR(__xludf.DUMMYFUNCTION("IMPORTRANGE(""https://docs.google.com/spreadsheets/d/1eHaY18a8A9IcSdp1K8H6x8fbOy06t2VsZHhMHf-1x7Y/edit?usp=sharing"",""แผน!ED84"")"),0)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20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194611.99</v>
      </c>
      <c r="R304" s="132">
        <f t="shared" ca="1" si="194"/>
        <v>194612</v>
      </c>
      <c r="S304" s="132">
        <f t="shared" ca="1" si="194"/>
        <v>0</v>
      </c>
      <c r="T304" s="132">
        <f t="shared" ref="T304:T312" ca="1" si="195">IF(Q304&gt;0,S304*100/Q304,0)</f>
        <v>0</v>
      </c>
      <c r="U304" s="132">
        <f t="shared" ref="U304:U312" ca="1" si="196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194611.99</v>
      </c>
      <c r="R306" s="46">
        <f t="shared" ca="1" si="198"/>
        <v>194612</v>
      </c>
      <c r="S306" s="46">
        <f t="shared" ca="1" si="198"/>
        <v>0</v>
      </c>
      <c r="T306" s="46">
        <f t="shared" ca="1" si="195"/>
        <v>0</v>
      </c>
      <c r="U306" s="46">
        <f t="shared" ca="1" si="196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194611.99</v>
      </c>
      <c r="R307" s="46">
        <f t="shared" ca="1" si="200"/>
        <v>194612</v>
      </c>
      <c r="S307" s="46">
        <f t="shared" ca="1" si="200"/>
        <v>0</v>
      </c>
      <c r="T307" s="46">
        <f t="shared" ca="1" si="195"/>
        <v>0</v>
      </c>
      <c r="U307" s="46">
        <f t="shared" ca="1" si="196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IFERROR(__xludf.DUMMYFUNCTION("IMPORTRANGE(""https://docs.google.com/spreadsheets/d/1-uDff_7J0KD5mKrp0Vvzr7lt3OU09vwQwhkpOPPYv2Y/edit?usp=sharing"",""งบพรบ!DY84"")"),0)</f>
        <v>0</v>
      </c>
      <c r="M309" s="46">
        <f ca="1">IFERROR(__xludf.DUMMYFUNCTION("IMPORTRANGE(""https://docs.google.com/spreadsheets/d/1-uDff_7J0KD5mKrp0Vvzr7lt3OU09vwQwhkpOPPYv2Y/edit?usp=sharing"",""งบพรบ!ED84"")"),0)</f>
        <v>0</v>
      </c>
      <c r="N309" s="46">
        <f ca="1">IFERROR(__xludf.DUMMYFUNCTION("IMPORTRANGE(""https://docs.google.com/spreadsheets/d/1-uDff_7J0KD5mKrp0Vvzr7lt3OU09vwQwhkpOPPYv2Y/edit?usp=sharing"",""งบพรบ!EF84"")"),0)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IFERROR(__xludf.DUMMYFUNCTION("IMPORTRANGE(""https://docs.google.com/spreadsheets/d/1ItG2mGa2ceCfYo0BwxsXqNm01IGEUdYcSSLTEv9YCik/edit?usp=sharing"",""เบิกจ่ายกองทุน!AP84"")"),194611.99)</f>
        <v>194611.99</v>
      </c>
      <c r="R309" s="46">
        <f ca="1">IFERROR(__xludf.DUMMYFUNCTION("IMPORTRANGE(""https://docs.google.com/spreadsheets/d/1ItG2mGa2ceCfYo0BwxsXqNm01IGEUdYcSSLTEv9YCik/edit?usp=sharing"",""เบิกจ่ายกองทุน!AQ84"")"),194612)</f>
        <v>194612</v>
      </c>
      <c r="S309" s="46">
        <f ca="1">IFERROR(__xludf.DUMMYFUNCTION("IMPORTRANGE(""https://docs.google.com/spreadsheets/d/1ItG2mGa2ceCfYo0BwxsXqNm01IGEUdYcSSLTEv9YCik/edit?usp=sharing"",""เบิกจ่ายกองทุน!AR84"")"),0)</f>
        <v>0</v>
      </c>
      <c r="T309" s="46">
        <f t="shared" ca="1" si="195"/>
        <v>0</v>
      </c>
      <c r="U309" s="46">
        <f t="shared" ca="1" si="196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IFERROR(__xludf.DUMMYFUNCTION("IMPORTRANGE(""https://docs.google.com/spreadsheets/d/1-uDff_7J0KD5mKrp0Vvzr7lt3OU09vwQwhkpOPPYv2Y/edit?usp=sharing"",""งบพรบ!EB84"")"),0)</f>
        <v>0</v>
      </c>
      <c r="M312" s="46">
        <f ca="1">IFERROR(__xludf.DUMMYFUNCTION("IMPORTRANGE(""https://docs.google.com/spreadsheets/d/1-uDff_7J0KD5mKrp0Vvzr7lt3OU09vwQwhkpOPPYv2Y/edit?usp=sharing"",""งบพรบ!EE84"")"),0)</f>
        <v>0</v>
      </c>
      <c r="N312" s="46">
        <f ca="1">IFERROR(__xludf.DUMMYFUNCTION("IMPORTRANGE(""https://docs.google.com/spreadsheets/d/1-uDff_7J0KD5mKrp0Vvzr7lt3OU09vwQwhkpOPPYv2Y/edit?usp=sharing"",""งบพรบ!EG84"")"),0)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IFERROR(__xludf.DUMMYFUNCTION("IMPORTRANGE(""https://docs.google.com/spreadsheets/d/1eHaY18a8A9IcSdp1K8H6x8fbOy06t2VsZHhMHf-1x7Y/edit?usp=sharing"",""แผน!EF84"")"),20)</f>
        <v>20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0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0</v>
      </c>
      <c r="M321" s="132">
        <f t="shared" ca="1" si="204"/>
        <v>0</v>
      </c>
      <c r="N321" s="132">
        <f t="shared" ca="1" si="204"/>
        <v>0</v>
      </c>
      <c r="O321" s="132">
        <f t="shared" ref="O321:O329" ca="1" si="205">IF(L321&gt;0,N321*100/L321,0)</f>
        <v>0</v>
      </c>
      <c r="P321" s="132">
        <f t="shared" ref="P321:P329" ca="1" si="206">IF(M321&gt;0,N321*100/M321,0)</f>
        <v>0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0</v>
      </c>
      <c r="M323" s="46">
        <f t="shared" ca="1" si="210"/>
        <v>0</v>
      </c>
      <c r="N323" s="46">
        <f t="shared" ca="1" si="210"/>
        <v>0</v>
      </c>
      <c r="O323" s="46">
        <f t="shared" ca="1" si="205"/>
        <v>0</v>
      </c>
      <c r="P323" s="46">
        <f t="shared" ca="1" si="206"/>
        <v>0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0</v>
      </c>
      <c r="M324" s="46">
        <f t="shared" ca="1" si="212"/>
        <v>0</v>
      </c>
      <c r="N324" s="46">
        <f t="shared" ca="1" si="212"/>
        <v>0</v>
      </c>
      <c r="O324" s="46">
        <f t="shared" ca="1" si="205"/>
        <v>0</v>
      </c>
      <c r="P324" s="46">
        <f t="shared" ca="1" si="206"/>
        <v>0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IFERROR(__xludf.DUMMYFUNCTION("IMPORTRANGE(""https://docs.google.com/spreadsheets/d/1-uDff_7J0KD5mKrp0Vvzr7lt3OU09vwQwhkpOPPYv2Y/edit?usp=sharing"",""งบพรบ!EI84"")"),0)</f>
        <v>0</v>
      </c>
      <c r="M326" s="46">
        <f ca="1">IFERROR(__xludf.DUMMYFUNCTION("IMPORTRANGE(""https://docs.google.com/spreadsheets/d/1-uDff_7J0KD5mKrp0Vvzr7lt3OU09vwQwhkpOPPYv2Y/edit?usp=sharing"",""งบพรบ!EN84"")"),0)</f>
        <v>0</v>
      </c>
      <c r="N326" s="46">
        <f ca="1">IFERROR(__xludf.DUMMYFUNCTION("IMPORTRANGE(""https://docs.google.com/spreadsheets/d/1-uDff_7J0KD5mKrp0Vvzr7lt3OU09vwQwhkpOPPYv2Y/edit?usp=sharing"",""งบพรบ!EP84"")"),0)</f>
        <v>0</v>
      </c>
      <c r="O326" s="46">
        <f t="shared" ca="1" si="205"/>
        <v>0</v>
      </c>
      <c r="P326" s="46">
        <f t="shared" ca="1" si="206"/>
        <v>0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IFERROR(__xludf.DUMMYFUNCTION("IMPORTRANGE(""https://docs.google.com/spreadsheets/d/1-uDff_7J0KD5mKrp0Vvzr7lt3OU09vwQwhkpOPPYv2Y/edit?usp=sharing"",""งบพรบ!EL84"")"),0)</f>
        <v>0</v>
      </c>
      <c r="M329" s="46">
        <f ca="1">IFERROR(__xludf.DUMMYFUNCTION("IMPORTRANGE(""https://docs.google.com/spreadsheets/d/1-uDff_7J0KD5mKrp0Vvzr7lt3OU09vwQwhkpOPPYv2Y/edit?usp=sharing"",""งบพรบ!EO84"")"),0)</f>
        <v>0</v>
      </c>
      <c r="N329" s="46">
        <f ca="1">IFERROR(__xludf.DUMMYFUNCTION("IMPORTRANGE(""https://docs.google.com/spreadsheets/d/1-uDff_7J0KD5mKrp0Vvzr7lt3OU09vwQwhkpOPPYv2Y/edit?usp=sharing"",""งบพรบ!EQ84"")"),0)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IFERROR(__xludf.DUMMYFUNCTION("IMPORTRANGE(""https://docs.google.com/spreadsheets/d/1eHaY18a8A9IcSdp1K8H6x8fbOy06t2VsZHhMHf-1x7Y/edit?usp=sharing"",""แผน!EJ84"")"),0)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140</v>
      </c>
      <c r="J333" s="665">
        <f ca="1">J345+J348+J349+J350+J354</f>
        <v>496</v>
      </c>
      <c r="K333" s="666">
        <f ca="1">IF(I333&gt;0,J333*100/I333,0)</f>
        <v>354.28571428571428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99000</v>
      </c>
      <c r="M334" s="132">
        <f t="shared" ca="1" si="216"/>
        <v>104000</v>
      </c>
      <c r="N334" s="132">
        <f t="shared" ca="1" si="216"/>
        <v>46211.93</v>
      </c>
      <c r="O334" s="132">
        <f t="shared" ref="O334:O342" ca="1" si="217">IF(L334&gt;0,N334*100/L334,0)</f>
        <v>46.678717171717174</v>
      </c>
      <c r="P334" s="132">
        <f t="shared" ref="P334:P342" ca="1" si="218">IF(M334&gt;0,N334*100/M334,0)</f>
        <v>44.434548076923079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99000</v>
      </c>
      <c r="M336" s="46">
        <f t="shared" ca="1" si="222"/>
        <v>104000</v>
      </c>
      <c r="N336" s="46">
        <f t="shared" ca="1" si="222"/>
        <v>46211.93</v>
      </c>
      <c r="O336" s="46">
        <f t="shared" ca="1" si="217"/>
        <v>46.678717171717174</v>
      </c>
      <c r="P336" s="46">
        <f t="shared" ca="1" si="218"/>
        <v>44.434548076923079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99000</v>
      </c>
      <c r="M337" s="46">
        <f t="shared" ca="1" si="224"/>
        <v>104000</v>
      </c>
      <c r="N337" s="46">
        <f t="shared" ca="1" si="224"/>
        <v>46211.93</v>
      </c>
      <c r="O337" s="46">
        <f t="shared" ca="1" si="217"/>
        <v>46.678717171717174</v>
      </c>
      <c r="P337" s="46">
        <f t="shared" ca="1" si="218"/>
        <v>44.434548076923079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IFERROR(__xludf.DUMMYFUNCTION("IMPORTRANGE(""https://docs.google.com/spreadsheets/d/1-uDff_7J0KD5mKrp0Vvzr7lt3OU09vwQwhkpOPPYv2Y/edit?usp=sharing"",""งบพรบ!ES84"")"),99000)</f>
        <v>99000</v>
      </c>
      <c r="M339" s="46">
        <f ca="1">IFERROR(__xludf.DUMMYFUNCTION("IMPORTRANGE(""https://docs.google.com/spreadsheets/d/1-uDff_7J0KD5mKrp0Vvzr7lt3OU09vwQwhkpOPPYv2Y/edit?usp=sharing"",""งบพรบ!EX84"")"),104000)</f>
        <v>104000</v>
      </c>
      <c r="N339" s="46">
        <f ca="1">IFERROR(__xludf.DUMMYFUNCTION("IMPORTRANGE(""https://docs.google.com/spreadsheets/d/1-uDff_7J0KD5mKrp0Vvzr7lt3OU09vwQwhkpOPPYv2Y/edit?usp=sharing"",""งบพรบ!EZ84"")"),46211.93)</f>
        <v>46211.93</v>
      </c>
      <c r="O339" s="46">
        <f t="shared" ca="1" si="217"/>
        <v>46.678717171717174</v>
      </c>
      <c r="P339" s="46">
        <f t="shared" ca="1" si="218"/>
        <v>44.434548076923079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IFERROR(__xludf.DUMMYFUNCTION("IMPORTRANGE(""https://docs.google.com/spreadsheets/d/1-uDff_7J0KD5mKrp0Vvzr7lt3OU09vwQwhkpOPPYv2Y/edit?usp=sharing"",""งบพรบ!EV84"")"),0)</f>
        <v>0</v>
      </c>
      <c r="M342" s="46">
        <f ca="1">IFERROR(__xludf.DUMMYFUNCTION("IMPORTRANGE(""https://docs.google.com/spreadsheets/d/1-uDff_7J0KD5mKrp0Vvzr7lt3OU09vwQwhkpOPPYv2Y/edit?usp=sharing"",""งบพรบ!EY84"")"),0)</f>
        <v>0</v>
      </c>
      <c r="N342" s="46">
        <f ca="1">IFERROR(__xludf.DUMMYFUNCTION("IMPORTRANGE(""https://docs.google.com/spreadsheets/d/1-uDff_7J0KD5mKrp0Vvzr7lt3OU09vwQwhkpOPPYv2Y/edit?usp=sharing"",""งบพรบ!FA84"")"),0)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164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IFERROR(__xludf.DUMMYFUNCTION("IMPORTRANGE(""https://docs.google.com/spreadsheets/d/1eHaY18a8A9IcSdp1K8H6x8fbOy06t2VsZHhMHf-1x7Y/edit?usp=sharing"",""แผน!EK84"")"),140)</f>
        <v>140</v>
      </c>
      <c r="J345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5" s="46">
        <f ca="1">IF(I345&gt;0,J345*100/I345,0)</f>
        <v>117.14285714285714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IFERROR(__xludf.DUMMYFUNCTION("IMPORTRANGE(""https://docs.google.com/spreadsheets/d/1eHaY18a8A9IcSdp1K8H6x8fbOy06t2VsZHhMHf-1x7Y/edit?usp=sharing"",""แผน!EL84"")"),1)</f>
        <v>1</v>
      </c>
      <c r="J347" s="152">
        <f ca="1">IFERROR(__xludf.DUMMYFUNCTION("IMPORTRANGE(""https://docs.google.com/spreadsheets/d/1awYsYK3VOup2i3Pq_Yjnu8DRu_mYwSBnCR2QPthd0rU/edit?usp=sharing"",""ศูนย์รวม!E84"")"),0)</f>
        <v>0</v>
      </c>
      <c r="K347" s="46">
        <f ca="1">IF(I347&gt;0,J347*100/I347,0)</f>
        <v>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334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IFERROR(__xludf.DUMMYFUNCTION("IMPORTRANGE(""https://docs.google.com/spreadsheets/d/1awYsYK3VOup2i3Pq_Yjnu8DRu_mYwSBnCR2QPthd0rU/edit?usp=sharing"",""โฉนดM3!G84"")"),2)</f>
        <v>2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IFERROR(__xludf.DUMMYFUNCTION("IMPORTRANGE(""https://docs.google.com/spreadsheets/d/1awYsYK3VOup2i3Pq_Yjnu8DRu_mYwSBnCR2QPthd0rU/edit?usp=sharing"",""โฉนดM3!H84"")"),332)</f>
        <v>332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436105</v>
      </c>
      <c r="M357" s="132">
        <f t="shared" ca="1" si="228"/>
        <v>436105</v>
      </c>
      <c r="N357" s="132">
        <f t="shared" ca="1" si="228"/>
        <v>334191.24</v>
      </c>
      <c r="O357" s="132">
        <f t="shared" ref="O357:O365" ca="1" si="229">IF(L357&gt;0,N357*100/L357,0)</f>
        <v>76.630912280299469</v>
      </c>
      <c r="P357" s="132">
        <f t="shared" ref="P357:P365" ca="1" si="230">IF(M357&gt;0,N357*100/M357,0)</f>
        <v>76.630912280299469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436105</v>
      </c>
      <c r="M359" s="46">
        <f t="shared" ca="1" si="234"/>
        <v>436105</v>
      </c>
      <c r="N359" s="46">
        <f t="shared" ca="1" si="234"/>
        <v>334191.24</v>
      </c>
      <c r="O359" s="46">
        <f t="shared" ca="1" si="229"/>
        <v>76.630912280299469</v>
      </c>
      <c r="P359" s="46">
        <f t="shared" ca="1" si="230"/>
        <v>76.630912280299469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436105</v>
      </c>
      <c r="M360" s="46">
        <f t="shared" ca="1" si="236"/>
        <v>436105</v>
      </c>
      <c r="N360" s="46">
        <f t="shared" ca="1" si="236"/>
        <v>334191.24</v>
      </c>
      <c r="O360" s="46">
        <f t="shared" ca="1" si="229"/>
        <v>76.630912280299469</v>
      </c>
      <c r="P360" s="46">
        <f t="shared" ca="1" si="230"/>
        <v>76.630912280299469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IFERROR(__xludf.DUMMYFUNCTION("IMPORTRANGE(""https://docs.google.com/spreadsheets/d/1-uDff_7J0KD5mKrp0Vvzr7lt3OU09vwQwhkpOPPYv2Y/edit?usp=sharing"",""งบพรบ!FC84"")"),436105)</f>
        <v>436105</v>
      </c>
      <c r="M362" s="46">
        <f ca="1">IFERROR(__xludf.DUMMYFUNCTION("IMPORTRANGE(""https://docs.google.com/spreadsheets/d/1-uDff_7J0KD5mKrp0Vvzr7lt3OU09vwQwhkpOPPYv2Y/edit?usp=sharing"",""งบพรบ!FH84"")"),436105)</f>
        <v>436105</v>
      </c>
      <c r="N362" s="46">
        <f ca="1">IFERROR(__xludf.DUMMYFUNCTION("IMPORTRANGE(""https://docs.google.com/spreadsheets/d/1-uDff_7J0KD5mKrp0Vvzr7lt3OU09vwQwhkpOPPYv2Y/edit?usp=sharing"",""งบพรบ!FJ84"")"),334191.24)</f>
        <v>334191.24</v>
      </c>
      <c r="O362" s="46">
        <f t="shared" ca="1" si="229"/>
        <v>76.630912280299469</v>
      </c>
      <c r="P362" s="46">
        <f t="shared" ca="1" si="230"/>
        <v>76.630912280299469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IFERROR(__xludf.DUMMYFUNCTION("IMPORTRANGE(""https://docs.google.com/spreadsheets/d/1-uDff_7J0KD5mKrp0Vvzr7lt3OU09vwQwhkpOPPYv2Y/edit?usp=sharing"",""งบพรบ!FF84"")"),0)</f>
        <v>0</v>
      </c>
      <c r="M365" s="46">
        <f ca="1">IFERROR(__xludf.DUMMYFUNCTION("IMPORTRANGE(""https://docs.google.com/spreadsheets/d/1-uDff_7J0KD5mKrp0Vvzr7lt3OU09vwQwhkpOPPYv2Y/edit?usp=sharing"",""งบพรบ!FI84"")"),0)</f>
        <v>0</v>
      </c>
      <c r="N365" s="46">
        <f ca="1">IFERROR(__xludf.DUMMYFUNCTION("IMPORTRANGE(""https://docs.google.com/spreadsheets/d/1-uDff_7J0KD5mKrp0Vvzr7lt3OU09vwQwhkpOPPYv2Y/edit?usp=sharing"",""งบพรบ!FK84"")"),0)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42</v>
      </c>
      <c r="J366" s="235">
        <f t="shared" ca="1" si="240"/>
        <v>48</v>
      </c>
      <c r="K366" s="236">
        <f ca="1">IF(I366&gt;0,J366*100/I366,0)</f>
        <v>114.28571428571429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IFERROR(__xludf.DUMMYFUNCTION("IMPORTRANGE(""https://docs.google.com/spreadsheets/d/1tdoBKaGub7dwA3U6UFTqxio9LNnvDCQjHKmttSEBsFQ/edit?usp=sharing"",""จัดที่ดิน!AB84"")"),45)</f>
        <v>45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IFERROR(__xludf.DUMMYFUNCTION("IMPORTRANGE(""https://docs.google.com/spreadsheets/d/1eHaY18a8A9IcSdp1K8H6x8fbOy06t2VsZHhMHf-1x7Y/edit?usp=sharing"",""แผน!EW84"")"),460)</f>
        <v>460</v>
      </c>
      <c r="J369" s="676">
        <f ca="1">IFERROR(__xludf.DUMMYFUNCTION("IMPORTRANGE(""https://docs.google.com/spreadsheets/d/1tdoBKaGub7dwA3U6UFTqxio9LNnvDCQjHKmttSEBsFQ/edit?usp=sharing"",""จัดที่ดิน!AC84"")"),327.94)</f>
        <v>327.94</v>
      </c>
      <c r="K369" s="46">
        <f t="shared" ca="1" si="241"/>
        <v>71.291304347826085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IFERROR(__xludf.DUMMYFUNCTION("IMPORTRANGE(""https://docs.google.com/spreadsheets/d/1eHaY18a8A9IcSdp1K8H6x8fbOy06t2VsZHhMHf-1x7Y/edit?usp=sharing"",""แผน!EX84"")"),59)</f>
        <v>59</v>
      </c>
      <c r="J370" s="152">
        <f ca="1">IFERROR(__xludf.DUMMYFUNCTION("IMPORTRANGE(""https://docs.google.com/spreadsheets/d/1tdoBKaGub7dwA3U6UFTqxio9LNnvDCQjHKmttSEBsFQ/edit?usp=sharing"",""จัดที่ดิน!AD84"")"),96)</f>
        <v>96</v>
      </c>
      <c r="K370" s="46">
        <f t="shared" ca="1" si="241"/>
        <v>162.71186440677965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IFERROR(__xludf.DUMMYFUNCTION("IMPORTRANGE(""https://docs.google.com/spreadsheets/d/1tdoBKaGub7dwA3U6UFTqxio9LNnvDCQjHKmttSEBsFQ/edit?usp=sharing"",""จัดที่ดิน!AE84"")"),636.569999999999)</f>
        <v>636.56999999999903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IFERROR(__xludf.DUMMYFUNCTION("IMPORTRANGE(""https://docs.google.com/spreadsheets/d/1eHaY18a8A9IcSdp1K8H6x8fbOy06t2VsZHhMHf-1x7Y/edit?usp=sharing"",""แผน!EY84"")"),42)</f>
        <v>42</v>
      </c>
      <c r="J372" s="152">
        <f ca="1">IFERROR(__xludf.DUMMYFUNCTION("IMPORTRANGE(""https://docs.google.com/spreadsheets/d/1tdoBKaGub7dwA3U6UFTqxio9LNnvDCQjHKmttSEBsFQ/edit?usp=sharing"",""จัดที่ดิน!AF84"")"),48)</f>
        <v>48</v>
      </c>
      <c r="K372" s="46">
        <f t="shared" ca="1" si="241"/>
        <v>114.28571428571429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IFERROR(__xludf.DUMMYFUNCTION("IMPORTRANGE(""https://docs.google.com/spreadsheets/d/1tdoBKaGub7dwA3U6UFTqxio9LNnvDCQjHKmttSEBsFQ/edit?usp=sharing"",""จัดที่ดิน!AG84"")"),282.05)</f>
        <v>282.05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150</v>
      </c>
      <c r="J375" s="684">
        <f t="shared" ca="1" si="242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9375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9375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9375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IFERROR(__xludf.DUMMYFUNCTION("IMPORTRANGE(""https://docs.google.com/spreadsheets/d/1ItG2mGa2ceCfYo0BwxsXqNm01IGEUdYcSSLTEv9YCik/edit?usp=sharing"",""เบิกจ่ายกองทุน!AY84"")"),9375)</f>
        <v>9375</v>
      </c>
      <c r="R381" s="46">
        <f ca="1">IFERROR(__xludf.DUMMYFUNCTION("IMPORTRANGE(""https://docs.google.com/spreadsheets/d/1ItG2mGa2ceCfYo0BwxsXqNm01IGEUdYcSSLTEv9YCik/edit?usp=sharing"",""เบิกจ่ายกองทุน!AZ84"")"),0)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IFERROR(__xludf.DUMMYFUNCTION("IMPORTRANGE(""https://docs.google.com/spreadsheets/d/1ItG2mGa2ceCfYo0BwxsXqNm01IGEUdYcSSLTEv9YCik/edit?usp=sharing"",""เบิกจ่ายกองทุน!BA84"")"),0)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IFERROR(__xludf.DUMMYFUNCTION("IMPORTRANGE(""https://docs.google.com/spreadsheets/d/1w5rwWK1o49a35cNtocGL0gxDwhFSTZUQu90BiH9_zqM/edit?usp=sharing"",""RTK!H84"")"),0)</f>
        <v>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IFERROR(__xludf.DUMMYFUNCTION("IMPORTRANGE(""https://docs.google.com/spreadsheets/d/1w5rwWK1o49a35cNtocGL0gxDwhFSTZUQu90BiH9_zqM/edit?usp=sharing"",""RTK!G84"")"),150)</f>
        <v>150</v>
      </c>
      <c r="J387" s="152">
        <f ca="1">IFERROR(__xludf.DUMMYFUNCTION("IMPORTRANGE(""https://docs.google.com/spreadsheets/d/1w5rwWK1o49a35cNtocGL0gxDwhFSTZUQu90BiH9_zqM/edit?usp=sharing"",""RTK!I84"")"),0)</f>
        <v>0</v>
      </c>
      <c r="K387" s="46">
        <f t="shared" ca="1" si="255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IFERROR(__xludf.DUMMYFUNCTION("IMPORTRANGE(""https://docs.google.com/spreadsheets/d/1w5rwWK1o49a35cNtocGL0gxDwhFSTZUQu90BiH9_zqM/edit?usp=sharing"",""RTK!L84"")"),0)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IFERROR(__xludf.DUMMYFUNCTION("IMPORTRANGE(""https://docs.google.com/spreadsheets/d/1w5rwWK1o49a35cNtocGL0gxDwhFSTZUQu90BiH9_zqM/edit?usp=sharing"",""RTK!K84"")"),0)</f>
        <v>0</v>
      </c>
      <c r="J389" s="691">
        <f ca="1">IFERROR(__xludf.DUMMYFUNCTION("IMPORTRANGE(""https://docs.google.com/spreadsheets/d/1w5rwWK1o49a35cNtocGL0gxDwhFSTZUQu90BiH9_zqM/edit?usp=sharing"",""RTK!M84"")"),0)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IFERROR(__xludf.DUMMYFUNCTION("IMPORTRANGE(""https://docs.google.com/spreadsheets/d/1ItG2mGa2ceCfYo0BwxsXqNm01IGEUdYcSSLTEv9YCik/edit?usp=sharing"",""เบิกจ่ายกองทุน!BH84"")"),0)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IFERROR(__xludf.DUMMYFUNCTION("IMPORTRANGE(""https://docs.google.com/spreadsheets/d/1ItG2mGa2ceCfYo0BwxsXqNm01IGEUdYcSSLTEv9YCik/edit?usp=sharing"",""เบิกจ่ายกองทุน!BI84"")"),0)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IFERROR(__xludf.DUMMYFUNCTION("IMPORTRANGE(""https://docs.google.com/spreadsheets/d/1ItG2mGa2ceCfYo0BwxsXqNm01IGEUdYcSSLTEv9YCik/edit?usp=sharing"",""เบิกจ่ายกองทุน!BJ84"")"),0)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IFERROR(__xludf.DUMMYFUNCTION("IMPORTRANGE(""https://docs.google.com/spreadsheets/d/1eHaY18a8A9IcSdp1K8H6x8fbOy06t2VsZHhMHf-1x7Y/edit?usp=sharing"",""แผน!HJ84"")"),0)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IFERROR(__xludf.DUMMYFUNCTION("IMPORTRANGE(""https://docs.google.com/spreadsheets/d/1eHaY18a8A9IcSdp1K8H6x8fbOy06t2VsZHhMHf-1x7Y/edit?usp=sharing"",""แผน!HK84"")"),0)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IFERROR(__xludf.DUMMYFUNCTION("IMPORTRANGE(""https://docs.google.com/spreadsheets/d/1eHaY18a8A9IcSdp1K8H6x8fbOy06t2VsZHhMHf-1x7Y/edit?usp=sharing"",""แผน!HJ84"")"),0)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IFERROR(__xludf.DUMMYFUNCTION("IMPORTRANGE(""https://docs.google.com/spreadsheets/d/1eHaY18a8A9IcSdp1K8H6x8fbOy06t2VsZHhMHf-1x7Y/edit?usp=sharing"",""แผน!HK84"")"),0)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IFERROR(__xludf.DUMMYFUNCTION("IMPORTRANGE(""https://docs.google.com/spreadsheets/d/1eHaY18a8A9IcSdp1K8H6x8fbOy06t2VsZHhMHf-1x7Y/edit?usp=sharing"",""แผน!HJ84"")"),0)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IFERROR(__xludf.DUMMYFUNCTION("IMPORTRANGE(""https://docs.google.com/spreadsheets/d/1eHaY18a8A9IcSdp1K8H6x8fbOy06t2VsZHhMHf-1x7Y/edit?usp=sharing"",""แผน!HK84"")"),0)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IFERROR(__xludf.DUMMYFUNCTION("IMPORTRANGE(""https://docs.google.com/spreadsheets/d/1eHaY18a8A9IcSdp1K8H6x8fbOy06t2VsZHhMHf-1x7Y/edit?usp=sharing"",""แผน!HL84"")"),0)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IFERROR(__xludf.DUMMYFUNCTION("IMPORTRANGE(""https://docs.google.com/spreadsheets/d/1eHaY18a8A9IcSdp1K8H6x8fbOy06t2VsZHhMHf-1x7Y/edit?usp=sharing"",""แผน!HM84"")"),0)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IFERROR(__xludf.DUMMYFUNCTION("IMPORTRANGE(""https://docs.google.com/spreadsheets/d/1eHaY18a8A9IcSdp1K8H6x8fbOy06t2VsZHhMHf-1x7Y/edit?usp=sharing"",""แผน!HN84"")"),0)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IFERROR(__xludf.DUMMYFUNCTION("IMPORTRANGE(""https://docs.google.com/spreadsheets/d/1eHaY18a8A9IcSdp1K8H6x8fbOy06t2VsZHhMHf-1x7Y/edit?usp=sharing"",""แผน!HO84"")"),0)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0</v>
      </c>
      <c r="R494" s="132">
        <f t="shared" ca="1" si="304"/>
        <v>0</v>
      </c>
      <c r="S494" s="132">
        <f t="shared" ca="1" si="304"/>
        <v>0</v>
      </c>
      <c r="T494" s="132">
        <f t="shared" ref="T494:T502" ca="1" si="305">IF(Q494&gt;0,S494*100/Q494,0)</f>
        <v>0</v>
      </c>
      <c r="U494" s="132">
        <f t="shared" ref="U494:U502" ca="1" si="306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0</v>
      </c>
      <c r="R496" s="46">
        <f t="shared" ca="1" si="308"/>
        <v>0</v>
      </c>
      <c r="S496" s="46">
        <f t="shared" ca="1" si="308"/>
        <v>0</v>
      </c>
      <c r="T496" s="46">
        <f t="shared" ca="1" si="305"/>
        <v>0</v>
      </c>
      <c r="U496" s="46">
        <f t="shared" ca="1" si="306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0</v>
      </c>
      <c r="R497" s="46">
        <f t="shared" ca="1" si="310"/>
        <v>0</v>
      </c>
      <c r="S497" s="46">
        <f t="shared" ca="1" si="310"/>
        <v>0</v>
      </c>
      <c r="T497" s="46">
        <f t="shared" ca="1" si="305"/>
        <v>0</v>
      </c>
      <c r="U497" s="46">
        <f t="shared" ca="1" si="306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IFERROR(__xludf.DUMMYFUNCTION("IMPORTRANGE(""https://docs.google.com/spreadsheets/d/1ItG2mGa2ceCfYo0BwxsXqNm01IGEUdYcSSLTEv9YCik/edit?usp=sharing"",""เบิกจ่ายกองทุน!X84"")"),0)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IFERROR(__xludf.DUMMYFUNCTION("IMPORTRANGE(""https://docs.google.com/spreadsheets/d/1ItG2mGa2ceCfYo0BwxsXqNm01IGEUdYcSSLTEv9YCik/edit?usp=sharing"",""เบิกจ่ายกองทุน!Y84"")"),0)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IFERROR(__xludf.DUMMYFUNCTION("IMPORTRANGE(""https://docs.google.com/spreadsheets/d/1ItG2mGa2ceCfYo0BwxsXqNm01IGEUdYcSSLTEv9YCik/edit?usp=sharing"",""เบิกจ่ายกองทุน!Z84"")"),0)</f>
        <v>0</v>
      </c>
      <c r="T499" s="46">
        <f t="shared" ca="1" si="305"/>
        <v>0</v>
      </c>
      <c r="U499" s="46">
        <f t="shared" ca="1" si="306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IFERROR(__xludf.DUMMYFUNCTION("IMPORTRANGE(""https://docs.google.com/spreadsheets/d/1eHaY18a8A9IcSdp1K8H6x8fbOy06t2VsZHhMHf-1x7Y/edit?usp=sharing"",""แผน!GX84"")"),0)</f>
        <v>0</v>
      </c>
      <c r="J504" s="147">
        <f ca="1">IF(AND(J505=I505,J506=I506,J507=I507,J508=I508),I504,0)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IFERROR(__xludf.DUMMYFUNCTION("IMPORTRANGE(""https://docs.google.com/spreadsheets/d/1eHaY18a8A9IcSdp1K8H6x8fbOy06t2VsZHhMHf-1x7Y/edit?usp=sharing"",""แผน!GY84"")"),0)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IFERROR(__xludf.DUMMYFUNCTION("IMPORTRANGE(""https://docs.google.com/spreadsheets/d/1eHaY18a8A9IcSdp1K8H6x8fbOy06t2VsZHhMHf-1x7Y/edit?usp=sharing"",""แผน!GZ84"")"),0)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IFERROR(__xludf.DUMMYFUNCTION("IMPORTRANGE(""https://docs.google.com/spreadsheets/d/1eHaY18a8A9IcSdp1K8H6x8fbOy06t2VsZHhMHf-1x7Y/edit?usp=sharing"",""แผน!HA84"")"),0)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IFERROR(__xludf.DUMMYFUNCTION("IMPORTRANGE(""https://docs.google.com/spreadsheets/d/1eHaY18a8A9IcSdp1K8H6x8fbOy06t2VsZHhMHf-1x7Y/edit?usp=sharing"",""แผน!HB84"")"),0)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IFERROR(__xludf.DUMMYFUNCTION("IMPORTRANGE(""https://docs.google.com/spreadsheets/d/1eHaY18a8A9IcSdp1K8H6x8fbOy06t2VsZHhMHf-1x7Y/edit?usp=sharing"",""แผน!HC84"")"),0)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4">I525</f>
        <v>0</v>
      </c>
      <c r="J513" s="766">
        <f t="shared" si="314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5">L515+L516</f>
        <v>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1"/>
        <v>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IFERROR(__xludf.DUMMYFUNCTION("IMPORTRANGE(""https://docs.google.com/spreadsheets/d/1-uDff_7J0KD5mKrp0Vvzr7lt3OU09vwQwhkpOPPYv2Y/edit?usp=sharing"",""งบพรบ!FM84"")"),0)</f>
        <v>0</v>
      </c>
      <c r="M519" s="46">
        <f ca="1">IFERROR(__xludf.DUMMYFUNCTION("IMPORTRANGE(""https://docs.google.com/spreadsheets/d/1-uDff_7J0KD5mKrp0Vvzr7lt3OU09vwQwhkpOPPYv2Y/edit?usp=sharing"",""งบพรบ!FR84"")"),0)</f>
        <v>0</v>
      </c>
      <c r="N519" s="46">
        <f ca="1">IFERROR(__xludf.DUMMYFUNCTION("IMPORTRANGE(""https://docs.google.com/spreadsheets/d/1-uDff_7J0KD5mKrp0Vvzr7lt3OU09vwQwhkpOPPYv2Y/edit?usp=sharing"",""งบพรบ!FT84"")"),0)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5">L521+L522</f>
        <v>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IFERROR(__xludf.DUMMYFUNCTION("IMPORTRANGE(""https://docs.google.com/spreadsheets/d/1-uDff_7J0KD5mKrp0Vvzr7lt3OU09vwQwhkpOPPYv2Y/edit?usp=sharing"",""งบพรบ!FP84"")"),0)</f>
        <v>0</v>
      </c>
      <c r="M522" s="46">
        <f ca="1">IFERROR(__xludf.DUMMYFUNCTION("IMPORTRANGE(""https://docs.google.com/spreadsheets/d/1-uDff_7J0KD5mKrp0Vvzr7lt3OU09vwQwhkpOPPYv2Y/edit?usp=sharing"",""งบพรบ!FS84"")"),0)</f>
        <v>0</v>
      </c>
      <c r="N522" s="46">
        <f ca="1">IFERROR(__xludf.DUMMYFUNCTION("IMPORTRANGE(""https://docs.google.com/spreadsheets/d/1-uDff_7J0KD5mKrp0Vvzr7lt3OU09vwQwhkpOPPYv2Y/edit?usp=sharing"",""งบพรบ!FU84"")"),0)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50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6700</v>
      </c>
      <c r="R617" s="132">
        <f t="shared" ca="1" si="383"/>
        <v>6700</v>
      </c>
      <c r="S617" s="132">
        <f t="shared" ca="1" si="383"/>
        <v>0</v>
      </c>
      <c r="T617" s="132">
        <f t="shared" ref="T617:T625" ca="1" si="384">IF(Q617&gt;0,S617*100/Q617,0)</f>
        <v>0</v>
      </c>
      <c r="U617" s="132">
        <f t="shared" ref="U617:U625" ca="1" si="385">IF(R617&gt;0,S617*100/R617,0)</f>
        <v>0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6700</v>
      </c>
      <c r="R619" s="46">
        <f t="shared" ca="1" si="387"/>
        <v>6700</v>
      </c>
      <c r="S619" s="46">
        <f t="shared" ca="1" si="387"/>
        <v>0</v>
      </c>
      <c r="T619" s="46">
        <f t="shared" ca="1" si="384"/>
        <v>0</v>
      </c>
      <c r="U619" s="46">
        <f t="shared" ca="1" si="385"/>
        <v>0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6700</v>
      </c>
      <c r="R620" s="46">
        <f t="shared" ca="1" si="389"/>
        <v>6700</v>
      </c>
      <c r="S620" s="46">
        <f t="shared" ca="1" si="389"/>
        <v>0</v>
      </c>
      <c r="T620" s="46">
        <f t="shared" ca="1" si="384"/>
        <v>0</v>
      </c>
      <c r="U620" s="46">
        <f t="shared" ca="1" si="385"/>
        <v>0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IFERROR(__xludf.DUMMYFUNCTION("IMPORTRANGE(""https://docs.google.com/spreadsheets/d/1ItG2mGa2ceCfYo0BwxsXqNm01IGEUdYcSSLTEv9YCik/edit?usp=sharing"",""เบิกจ่ายกองทุน!F84"")"),6700)</f>
        <v>6700</v>
      </c>
      <c r="R622" s="46">
        <f ca="1">IFERROR(__xludf.DUMMYFUNCTION("IMPORTRANGE(""https://docs.google.com/spreadsheets/d/1ItG2mGa2ceCfYo0BwxsXqNm01IGEUdYcSSLTEv9YCik/edit?usp=sharing"",""เบิกจ่ายกองทุน!G84"")"),6700)</f>
        <v>6700</v>
      </c>
      <c r="S622" s="46">
        <f ca="1">IFERROR(__xludf.DUMMYFUNCTION("IMPORTRANGE(""https://docs.google.com/spreadsheets/d/1ItG2mGa2ceCfYo0BwxsXqNm01IGEUdYcSSLTEv9YCik/edit?usp=sharing"",""เบิกจ่ายกองทุน!H84"")"),0)</f>
        <v>0</v>
      </c>
      <c r="T622" s="46">
        <f t="shared" ca="1" si="384"/>
        <v>0</v>
      </c>
      <c r="U622" s="46">
        <f t="shared" ca="1" si="385"/>
        <v>0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IFERROR(__xludf.DUMMYFUNCTION("IMPORTRANGE(""https://docs.google.com/spreadsheets/d/1eHaY18a8A9IcSdp1K8H6x8fbOy06t2VsZHhMHf-1x7Y/edit?usp=sharing"",""แผน!ID84"")"),50)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8">
        <v>0</v>
      </c>
      <c r="K628" s="46">
        <f t="shared" ref="K628:K629" ca="1" si="392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IFERROR(__xludf.DUMMYFUNCTION("IMPORTRANGE(""https://docs.google.com/spreadsheets/d/1eHaY18a8A9IcSdp1K8H6x8fbOy06t2VsZHhMHf-1x7Y/edit?usp=sharing"",""แผน!IC84"")"),0)</f>
        <v>0</v>
      </c>
      <c r="J629" s="168">
        <v>0</v>
      </c>
      <c r="K629" s="46">
        <f t="shared" ca="1" si="392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IFERROR(__xludf.DUMMYFUNCTION("IMPORTRANGE(""https://docs.google.com/spreadsheets/d/1eHaY18a8A9IcSdp1K8H6x8fbOy06t2VsZHhMHf-1x7Y/edit?usp=sharing"",""แผน!IE84"")"),0)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0</v>
      </c>
      <c r="R643" s="132">
        <f t="shared" ca="1" si="397"/>
        <v>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0</v>
      </c>
      <c r="R645" s="46">
        <f t="shared" ca="1" si="401"/>
        <v>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0</v>
      </c>
      <c r="R646" s="46">
        <f t="shared" ca="1" si="403"/>
        <v>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IFERROR(__xludf.DUMMYFUNCTION("IMPORTRANGE(""https://docs.google.com/spreadsheets/d/1ItG2mGa2ceCfYo0BwxsXqNm01IGEUdYcSSLTEv9YCik/edit?usp=sharing"",""เบิกจ่ายกองทุน!I84"")"),0)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IFERROR(__xludf.DUMMYFUNCTION("IMPORTRANGE(""https://docs.google.com/spreadsheets/d/1ItG2mGa2ceCfYo0BwxsXqNm01IGEUdYcSSLTEv9YCik/edit?usp=sharing"",""เบิกจ่ายกองทุน!J84"")"),0)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IFERROR(__xludf.DUMMYFUNCTION("IMPORTRANGE(""https://docs.google.com/spreadsheets/d/1ItG2mGa2ceCfYo0BwxsXqNm01IGEUdYcSSLTEv9YCik/edit?usp=sharing"",""เบิกจ่ายกองทุน!K84"")"),0)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IFERROR(__xludf.DUMMYFUNCTION("IMPORTRANGE(""https://docs.google.com/spreadsheets/d/1eHaY18a8A9IcSdp1K8H6x8fbOy06t2VsZHhMHf-1x7Y/edit?usp=sharing"",""แผน!IF84"")"),0)</f>
        <v>0</v>
      </c>
      <c r="J653" s="152">
        <f ca="1">IFERROR(__xludf.DUMMYFUNCTION("IMPORTRANGE(""https://docs.google.com/spreadsheets/d/1tdoBKaGub7dwA3U6UFTqxio9LNnvDCQjHKmttSEBsFQ/edit?usp=sharing"",""จัดที่ดิน!AU84"")"),0)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IFERROR(__xludf.DUMMYFUNCTION("IMPORTRANGE(""https://docs.google.com/spreadsheets/d/1eHaY18a8A9IcSdp1K8H6x8fbOy06t2VsZHhMHf-1x7Y/edit?usp=sharing"",""แผน!IG84"")"),0)</f>
        <v>0</v>
      </c>
      <c r="J654" s="152">
        <f ca="1">IFERROR(__xludf.DUMMYFUNCTION("IMPORTRANGE(""https://docs.google.com/spreadsheets/d/1tdoBKaGub7dwA3U6UFTqxio9LNnvDCQjHKmttSEBsFQ/edit?usp=sharing"",""จัดที่ดิน!AW84"")"),0)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IFERROR(__xludf.DUMMYFUNCTION("IMPORTRANGE(""https://docs.google.com/spreadsheets/d/1eHaY18a8A9IcSdp1K8H6x8fbOy06t2VsZHhMHf-1x7Y/edit?usp=sharing"",""แผน!IH84"")"),0)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IFERROR(__xludf.DUMMYFUNCTION("IMPORTRANGE(""https://docs.google.com/spreadsheets/d/1eHaY18a8A9IcSdp1K8H6x8fbOy06t2VsZHhMHf-1x7Y/edit?usp=sharing"",""แผน!II84"")"),0)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IFERROR(__xludf.DUMMYFUNCTION("IMPORTRANGE(""https://docs.google.com/spreadsheets/d/1eHaY18a8A9IcSdp1K8H6x8fbOy06t2VsZHhMHf-1x7Y/edit?usp=sharing"",""แผน!IJ84"")"),0)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IFERROR(__xludf.DUMMYFUNCTION("IMPORTRANGE(""https://docs.google.com/spreadsheets/d/1eHaY18a8A9IcSdp1K8H6x8fbOy06t2VsZHhMHf-1x7Y/edit?usp=sharing"",""แผน!IK84"")"),0)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IFERROR(__xludf.DUMMYFUNCTION("IMPORTRANGE(""https://docs.google.com/spreadsheets/d/1tdoBKaGub7dwA3U6UFTqxio9LNnvDCQjHKmttSEBsFQ/edit?usp=sharing"",""จัดที่ดิน!AY84"")"),0)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IFERROR(__xludf.DUMMYFUNCTION("IMPORTRANGE(""https://docs.google.com/spreadsheets/d/1tdoBKaGub7dwA3U6UFTqxio9LNnvDCQjHKmttSEBsFQ/edit?usp=sharing"",""จัดที่ดิน!AZ84"")"),0)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IFERROR(__xludf.DUMMYFUNCTION("IMPORTRANGE(""https://docs.google.com/spreadsheets/d/1eHaY18a8A9IcSdp1K8H6x8fbOy06t2VsZHhMHf-1x7Y/edit?usp=sharing"",""แผน!IL84"")"),0)</f>
        <v>0</v>
      </c>
      <c r="J674" s="152">
        <f ca="1">IFERROR(__xludf.DUMMYFUNCTION("IMPORTRANGE(""https://docs.google.com/spreadsheets/d/1tdoBKaGub7dwA3U6UFTqxio9LNnvDCQjHKmttSEBsFQ/edit?usp=sharing"",""จัดที่ดิน!BA84"")"),0)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IFERROR(__xludf.DUMMYFUNCTION("IMPORTRANGE(""https://docs.google.com/spreadsheets/d/1eHaY18a8A9IcSdp1K8H6x8fbOy06t2VsZHhMHf-1x7Y/edit?usp=sharing"",""แผน!IM84"")"),0)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IFERROR(__xludf.DUMMYFUNCTION("IMPORTRANGE(""https://docs.google.com/spreadsheets/d/1eHaY18a8A9IcSdp1K8H6x8fbOy06t2VsZHhMHf-1x7Y/edit?usp=sharing"",""แผน!IN84"")"),0)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IFERROR(__xludf.DUMMYFUNCTION("IMPORTRANGE(""https://docs.google.com/spreadsheets/d/1eHaY18a8A9IcSdp1K8H6x8fbOy06t2VsZHhMHf-1x7Y/edit?usp=sharing"",""แผน!IO84"")"),0)</f>
        <v>0</v>
      </c>
      <c r="J677" s="152">
        <f ca="1">IFERROR(__xludf.DUMMYFUNCTION("IMPORTRANGE(""https://docs.google.com/spreadsheets/d/1tdoBKaGub7dwA3U6UFTqxio9LNnvDCQjHKmttSEBsFQ/edit?usp=sharing"",""จัดที่ดิน!BF84"")"),0)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IFERROR(__xludf.DUMMYFUNCTION("IMPORTRANGE(""https://docs.google.com/spreadsheets/d/1tdoBKaGub7dwA3U6UFTqxio9LNnvDCQjHKmttSEBsFQ/edit?usp=sharing"",""จัดที่ดิน!BG84"")"),0)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IFERROR(__xludf.DUMMYFUNCTION("IMPORTRANGE(""https://docs.google.com/spreadsheets/d/1eHaY18a8A9IcSdp1K8H6x8fbOy06t2VsZHhMHf-1x7Y/edit?usp=sharing"",""แผน!IP84"")"),0)</f>
        <v>0</v>
      </c>
      <c r="J679" s="152">
        <f ca="1">IFERROR(__xludf.DUMMYFUNCTION("IMPORTRANGE(""https://docs.google.com/spreadsheets/d/1tdoBKaGub7dwA3U6UFTqxio9LNnvDCQjHKmttSEBsFQ/edit?usp=sharing"",""จัดที่ดิน!BH84"")"),0)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IFERROR(__xludf.DUMMYFUNCTION("IMPORTRANGE(""https://docs.google.com/spreadsheets/d/1eHaY18a8A9IcSdp1K8H6x8fbOy06t2VsZHhMHf-1x7Y/edit?usp=sharing"",""แผน!IQ84"")"),0)</f>
        <v>0</v>
      </c>
      <c r="J680" s="152">
        <f ca="1">IFERROR(__xludf.DUMMYFUNCTION("IMPORTRANGE(""https://docs.google.com/spreadsheets/d/1tdoBKaGub7dwA3U6UFTqxio9LNnvDCQjHKmttSEBsFQ/edit?usp=sharing"",""จัดที่ดิน!BK84"")"),0)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IFERROR(__xludf.DUMMYFUNCTION("IMPORTRANGE(""https://docs.google.com/spreadsheets/d/1tdoBKaGub7dwA3U6UFTqxio9LNnvDCQjHKmttSEBsFQ/edit?usp=sharing"",""จัดที่ดิน!BL84"")"),0)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IFERROR(__xludf.DUMMYFUNCTION("IMPORTRANGE(""https://docs.google.com/spreadsheets/d/1eHaY18a8A9IcSdp1K8H6x8fbOy06t2VsZHhMHf-1x7Y/edit?usp=sharing"",""แผน!IR84"")"),0)</f>
        <v>0</v>
      </c>
      <c r="J682" s="152">
        <f ca="1">IFERROR(__xludf.DUMMYFUNCTION("IMPORTRANGE(""https://docs.google.com/spreadsheets/d/1tdoBKaGub7dwA3U6UFTqxio9LNnvDCQjHKmttSEBsFQ/edit?usp=sharing"",""จัดที่ดิน!BM84"")"),0)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IFERROR(__xludf.DUMMYFUNCTION("IMPORTRANGE(""https://docs.google.com/spreadsheets/d/1eHaY18a8A9IcSdp1K8H6x8fbOy06t2VsZHhMHf-1x7Y/edit?usp=sharing"",""แผน!IS84"")"),0)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447" t="s">
        <v>35</v>
      </c>
      <c r="I690" s="448">
        <f t="shared" ref="I690:J690" ca="1" si="410">I708</f>
        <v>31</v>
      </c>
      <c r="J690" s="448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135150</v>
      </c>
      <c r="R691" s="132">
        <f t="shared" ca="1" si="414"/>
        <v>135150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135150</v>
      </c>
      <c r="R693" s="46">
        <f t="shared" ca="1" si="418"/>
        <v>135150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135150</v>
      </c>
      <c r="R694" s="46">
        <f t="shared" ca="1" si="420"/>
        <v>135150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6" s="46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6" s="46">
        <f ca="1">IFERROR(__xludf.DUMMYFUNCTION("IMPORTRANGE(""https://docs.google.com/spreadsheets/d/1ItG2mGa2ceCfYo0BwxsXqNm01IGEUdYcSSLTEv9YCik/edit?usp=sharing"",""เบิกจ่ายกองทุน!N84"")"),0)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IFERROR(__xludf.DUMMYFUNCTION("IMPORTRANGE(""https://docs.google.com/spreadsheets/d/1eHaY18a8A9IcSdp1K8H6x8fbOy06t2VsZHhMHf-1x7Y/edit?usp=sharing"",""แผน!LC84"")"),0)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34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IFERROR(__xludf.DUMMYFUNCTION("IMPORTRANGE(""https://docs.google.com/spreadsheets/d/1eHaY18a8A9IcSdp1K8H6x8fbOy06t2VsZHhMHf-1x7Y/edit?usp=sharing"",""แผน!LJ84"")"),31)</f>
        <v>31</v>
      </c>
      <c r="J704" s="152">
        <f ca="1">IFERROR(__xludf.DUMMYFUNCTION("IMPORTRANGE(""https://docs.google.com/spreadsheets/d/1tdoBKaGub7dwA3U6UFTqxio9LNnvDCQjHKmttSEBsFQ/edit?usp=sharing"",""จัดที่ดิน!AP84"")"),0)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IFERROR(__xludf.DUMMYFUNCTION("IMPORTRANGE(""https://docs.google.com/spreadsheets/d/1tdoBKaGub7dwA3U6UFTqxio9LNnvDCQjHKmttSEBsFQ/edit?usp=sharing"",""จัดที่ดิน!AQ84"")"),0)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IFERROR(__xludf.DUMMYFUNCTION("IMPORTRANGE(""https://docs.google.com/spreadsheets/d/1eHaY18a8A9IcSdp1K8H6x8fbOy06t2VsZHhMHf-1x7Y/edit?usp=sharing"",""แผน!LK84"")"),3)</f>
        <v>3</v>
      </c>
      <c r="J706" s="152">
        <f ca="1">IFERROR(__xludf.DUMMYFUNCTION("IMPORTRANGE(""https://docs.google.com/spreadsheets/d/1tdoBKaGub7dwA3U6UFTqxio9LNnvDCQjHKmttSEBsFQ/edit?usp=sharing"",""จัดที่ดิน!AR84"")"),0)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IFERROR(__xludf.DUMMYFUNCTION("IMPORTRANGE(""https://docs.google.com/spreadsheets/d/1tdoBKaGub7dwA3U6UFTqxio9LNnvDCQjHKmttSEBsFQ/edit?usp=sharing"",""จัดที่ดิน!AS84"")"),0)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IFERROR(__xludf.DUMMYFUNCTION("IMPORTRANGE(""https://docs.google.com/spreadsheets/d/1eHaY18a8A9IcSdp1K8H6x8fbOy06t2VsZHhMHf-1x7Y/edit?usp=sharing"",""แผน!LJ84"")"),31)</f>
        <v>31</v>
      </c>
      <c r="J708" s="152">
        <f ca="1">IFERROR(__xludf.DUMMYFUNCTION("IMPORTRANGE(""https://docs.google.com/spreadsheets/d/1tdoBKaGub7dwA3U6UFTqxio9LNnvDCQjHKmttSEBsFQ/edit?usp=sharing"",""จัดที่ดิน!BN84"")"),0)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IFERROR(__xludf.DUMMYFUNCTION("IMPORTRANGE(""https://docs.google.com/spreadsheets/d/1tdoBKaGub7dwA3U6UFTqxio9LNnvDCQjHKmttSEBsFQ/edit?usp=sharing"",""จัดที่ดิน!BO84"")"),0)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IFERROR(__xludf.DUMMYFUNCTION("IMPORTRANGE(""https://docs.google.com/spreadsheets/d/1eHaY18a8A9IcSdp1K8H6x8fbOy06t2VsZHhMHf-1x7Y/edit?usp=sharing"",""แผน!LK84"")"),3)</f>
        <v>3</v>
      </c>
      <c r="J710" s="152">
        <f ca="1">IFERROR(__xludf.DUMMYFUNCTION("IMPORTRANGE(""https://docs.google.com/spreadsheets/d/1tdoBKaGub7dwA3U6UFTqxio9LNnvDCQjHKmttSEBsFQ/edit?usp=sharing"",""จัดที่ดิน!BP84"")"),0)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IFERROR(__xludf.DUMMYFUNCTION("IMPORTRANGE(""https://docs.google.com/spreadsheets/d/1tdoBKaGub7dwA3U6UFTqxio9LNnvDCQjHKmttSEBsFQ/edit?usp=sharing"",""จัดที่ดิน!BQ84"")"),0)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IFERROR(__xludf.DUMMYFUNCTION("IMPORTRANGE(""https://docs.google.com/spreadsheets/d/1eHaY18a8A9IcSdp1K8H6x8fbOy06t2VsZHhMHf-1x7Y/edit?usp=sharing"",""แผน!GA84"")"),11)</f>
        <v>11</v>
      </c>
      <c r="J727" s="448">
        <f>J743+J747+J750</f>
        <v>0</v>
      </c>
      <c r="K727" s="449">
        <f t="shared" ref="K727:K728" ca="1" si="437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IFERROR(__xludf.DUMMYFUNCTION("IMPORTRANGE(""https://docs.google.com/spreadsheets/d/1eHaY18a8A9IcSdp1K8H6x8fbOy06t2VsZHhMHf-1x7Y/edit?usp=sharing"",""แผน!FZ84"")"),100)</f>
        <v>100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111882</v>
      </c>
      <c r="R729" s="132">
        <f t="shared" ca="1" si="441"/>
        <v>111882</v>
      </c>
      <c r="S729" s="132">
        <f t="shared" ca="1" si="441"/>
        <v>0</v>
      </c>
      <c r="T729" s="132">
        <f t="shared" ref="T729:T737" ca="1" si="442">IF(Q729&gt;0,S729*100/Q729,0)</f>
        <v>0</v>
      </c>
      <c r="U729" s="132">
        <f t="shared" ref="U729:U737" ca="1" si="443">IF(R729&gt;0,S729*100/R729,0)</f>
        <v>0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111882</v>
      </c>
      <c r="R731" s="46">
        <f t="shared" ca="1" si="445"/>
        <v>111882</v>
      </c>
      <c r="S731" s="46">
        <f t="shared" ca="1" si="445"/>
        <v>0</v>
      </c>
      <c r="T731" s="46">
        <f t="shared" ca="1" si="442"/>
        <v>0</v>
      </c>
      <c r="U731" s="46">
        <f t="shared" ca="1" si="443"/>
        <v>0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111882</v>
      </c>
      <c r="R732" s="46">
        <f t="shared" ca="1" si="447"/>
        <v>111882</v>
      </c>
      <c r="S732" s="46">
        <f t="shared" ca="1" si="447"/>
        <v>0</v>
      </c>
      <c r="T732" s="46">
        <f t="shared" ca="1" si="442"/>
        <v>0</v>
      </c>
      <c r="U732" s="46">
        <f t="shared" ca="1" si="443"/>
        <v>0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4" s="46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4" s="46">
        <f ca="1">IFERROR(__xludf.DUMMYFUNCTION("IMPORTRANGE(""https://docs.google.com/spreadsheets/d/1ItG2mGa2ceCfYo0BwxsXqNm01IGEUdYcSSLTEv9YCik/edit?usp=sharing"",""เบิกจ่ายกองทุน!Q84"")"),0)</f>
        <v>0</v>
      </c>
      <c r="T734" s="46">
        <f t="shared" ca="1" si="442"/>
        <v>0</v>
      </c>
      <c r="U734" s="46">
        <f t="shared" ca="1" si="443"/>
        <v>0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IFERROR(__xludf.DUMMYFUNCTION("IMPORTRANGE(""https://docs.google.com/spreadsheets/d/1eHaY18a8A9IcSdp1K8H6x8fbOy06t2VsZHhMHf-1x7Y/edit?usp=sharing"",""แผน!GB84"")"),80)</f>
        <v>80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IFERROR(__xludf.DUMMYFUNCTION("IMPORTRANGE(""https://docs.google.com/spreadsheets/d/1eHaY18a8A9IcSdp1K8H6x8fbOy06t2VsZHhMHf-1x7Y/edit?usp=sharing"",""แผน!GC84"")"),8)</f>
        <v>8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IFERROR(__xludf.DUMMYFUNCTION("IMPORTRANGE(""https://docs.google.com/spreadsheets/d/1eHaY18a8A9IcSdp1K8H6x8fbOy06t2VsZHhMHf-1x7Y/edit?usp=sharing"",""แผน!GD84"")"),20)</f>
        <v>20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IFERROR(__xludf.DUMMYFUNCTION("IMPORTRANGE(""https://docs.google.com/spreadsheets/d/1eHaY18a8A9IcSdp1K8H6x8fbOy06t2VsZHhMHf-1x7Y/edit?usp=sharing"",""แผน!GE84"")"),2)</f>
        <v>2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IFERROR(__xludf.DUMMYFUNCTION("IMPORTRANGE(""https://docs.google.com/spreadsheets/d/1eHaY18a8A9IcSdp1K8H6x8fbOy06t2VsZHhMHf-1x7Y/edit?usp=sharing"",""แผน!GF84"")"),1)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IFERROR(__xludf.DUMMYFUNCTION("IMPORTRANGE(""https://docs.google.com/spreadsheets/d/1eHaY18a8A9IcSdp1K8H6x8fbOy06t2VsZHhMHf-1x7Y/edit?usp=sharing"",""แผน!GB84"")"),80)</f>
        <v>80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IFERROR(__xludf.DUMMYFUNCTION("IMPORTRANGE(""https://docs.google.com/spreadsheets/d/1eHaY18a8A9IcSdp1K8H6x8fbOy06t2VsZHhMHf-1x7Y/edit?usp=sharing"",""แผน!GD84"")"),20)</f>
        <v>20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hidden="1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0</v>
      </c>
      <c r="J759" s="448">
        <f t="shared" si="450"/>
        <v>0</v>
      </c>
      <c r="K759" s="449">
        <f t="shared" ref="K759:K760" ca="1" si="451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hidden="1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0</v>
      </c>
      <c r="J760" s="448">
        <f t="shared" si="452"/>
        <v>0</v>
      </c>
      <c r="K760" s="449">
        <f t="shared" ca="1" si="451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hidden="1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0</v>
      </c>
      <c r="R761" s="132">
        <f t="shared" ca="1" si="456"/>
        <v>0</v>
      </c>
      <c r="S761" s="132">
        <f t="shared" ca="1" si="456"/>
        <v>0</v>
      </c>
      <c r="T761" s="132">
        <f t="shared" ref="T761:T769" ca="1" si="457">IF(Q761&gt;0,S761*100/Q761,0)</f>
        <v>0</v>
      </c>
      <c r="U761" s="132">
        <f t="shared" ref="U761:U769" ca="1" si="458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0</v>
      </c>
      <c r="R763" s="46">
        <f t="shared" ca="1" si="460"/>
        <v>0</v>
      </c>
      <c r="S763" s="46">
        <f t="shared" ca="1" si="460"/>
        <v>0</v>
      </c>
      <c r="T763" s="46">
        <f t="shared" ca="1" si="457"/>
        <v>0</v>
      </c>
      <c r="U763" s="46">
        <f t="shared" ca="1" si="458"/>
        <v>0</v>
      </c>
    </row>
    <row r="764" spans="1:21" ht="18.75" hidden="1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0</v>
      </c>
      <c r="R764" s="46">
        <f t="shared" ca="1" si="462"/>
        <v>0</v>
      </c>
      <c r="S764" s="46">
        <f t="shared" ca="1" si="462"/>
        <v>0</v>
      </c>
      <c r="T764" s="46">
        <f t="shared" ca="1" si="457"/>
        <v>0</v>
      </c>
      <c r="U764" s="46">
        <f t="shared" ca="1" si="458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IFERROR(__xludf.DUMMYFUNCTION("IMPORTRANGE(""https://docs.google.com/spreadsheets/d/1ItG2mGa2ceCfYo0BwxsXqNm01IGEUdYcSSLTEv9YCik/edit?usp=sharing"",""เบิกจ่ายกองทุน!U84"")"),0)</f>
        <v>0</v>
      </c>
      <c r="R766" s="46">
        <f ca="1">IFERROR(__xludf.DUMMYFUNCTION("IMPORTRANGE(""https://docs.google.com/spreadsheets/d/1ItG2mGa2ceCfYo0BwxsXqNm01IGEUdYcSSLTEv9YCik/edit?usp=sharing"",""เบิกจ่ายกองทุน!V84"")"),0)</f>
        <v>0</v>
      </c>
      <c r="S766" s="46">
        <f ca="1">IFERROR(__xludf.DUMMYFUNCTION("IMPORTRANGE(""https://docs.google.com/spreadsheets/d/1ItG2mGa2ceCfYo0BwxsXqNm01IGEUdYcSSLTEv9YCik/edit?usp=sharing"",""เบิกจ่ายกองทุน!W84"")"),0)</f>
        <v>0</v>
      </c>
      <c r="T766" s="46">
        <f t="shared" ca="1" si="457"/>
        <v>0</v>
      </c>
      <c r="U766" s="46">
        <f t="shared" ca="1" si="458"/>
        <v>0</v>
      </c>
    </row>
    <row r="767" spans="1:21" ht="18.75" hidden="1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hidden="1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IFERROR(__xludf.DUMMYFUNCTION("IMPORTRANGE(""https://docs.google.com/spreadsheets/d/1eHaY18a8A9IcSdp1K8H6x8fbOy06t2VsZHhMHf-1x7Y/edit?usp=sharing"",""แผน!FI84"")"),0)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IFERROR(__xludf.DUMMYFUNCTION("IMPORTRANGE(""https://docs.google.com/spreadsheets/d/1eHaY18a8A9IcSdp1K8H6x8fbOy06t2VsZHhMHf-1x7Y/edit?usp=sharing"",""แผน!FQ84"")"),0)</f>
        <v>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IFERROR(__xludf.DUMMYFUNCTION("IMPORTRANGE(""https://docs.google.com/spreadsheets/d/1eHaY18a8A9IcSdp1K8H6x8fbOy06t2VsZHhMHf-1x7Y/edit?usp=sharing"",""แผน!FR84"")"),0)</f>
        <v>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IFERROR(__xludf.DUMMYFUNCTION("IMPORTRANGE(""https://docs.google.com/spreadsheets/d/1eHaY18a8A9IcSdp1K8H6x8fbOy06t2VsZHhMHf-1x7Y/edit?usp=sharing"",""แผน!FS84"")"),0)</f>
        <v>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hidden="1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IFERROR(__xludf.DUMMYFUNCTION("IMPORTRANGE(""https://docs.google.com/spreadsheets/d/1eHaY18a8A9IcSdp1K8H6x8fbOy06t2VsZHhMHf-1x7Y/edit?usp=sharing"",""แผน!FT84"")"),0)</f>
        <v>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9" s="152">
        <f ca="1">IFERROR(__xludf.DUMMYFUNCTION("IMPORTRANGE(""https://docs.google.com/spreadsheets/d/10OvvATaaLtwErnr3qtWFcTmtbfpFEt5Bsqel9sXx0uE/edit?usp=sharing"",""งานกองทุน!F84"")"),190541.03)</f>
        <v>190541.03</v>
      </c>
      <c r="K779" s="46">
        <f t="shared" ref="K779:K786" ca="1" si="465">IF(I779&gt;0,J779*100/I779,0)</f>
        <v>41.535795502862157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IFERROR(__xludf.DUMMYFUNCTION("IMPORTRANGE(""https://docs.google.com/spreadsheets/d/10OvvATaaLtwErnr3qtWFcTmtbfpFEt5Bsqel9sXx0uE/edit?usp=sharing"",""งานกองทุน!C84"")"),46)</f>
        <v>46</v>
      </c>
      <c r="J780" s="152">
        <f ca="1">IFERROR(__xludf.DUMMYFUNCTION("IMPORTRANGE(""https://docs.google.com/spreadsheets/d/10OvvATaaLtwErnr3qtWFcTmtbfpFEt5Bsqel9sXx0uE/edit?usp=sharing"",""งานกองทุน!E84"")"),19)</f>
        <v>19</v>
      </c>
      <c r="K780" s="46">
        <f t="shared" ca="1" si="465"/>
        <v>41.304347826086953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1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1" s="46">
        <f t="shared" ca="1" si="465"/>
        <v>100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IFERROR(__xludf.DUMMYFUNCTION("IMPORTRANGE(""https://docs.google.com/spreadsheets/d/10OvvATaaLtwErnr3qtWFcTmtbfpFEt5Bsqel9sXx0uE/edit?usp=sharing"",""งานกองทุน!H84"")"),3)</f>
        <v>3</v>
      </c>
      <c r="J782" s="152">
        <f ca="1">IFERROR(__xludf.DUMMYFUNCTION("IMPORTRANGE(""https://docs.google.com/spreadsheets/d/10OvvATaaLtwErnr3qtWFcTmtbfpFEt5Bsqel9sXx0uE/edit?usp=sharing"",""งานกองทุน!J84"")"),3)</f>
        <v>3</v>
      </c>
      <c r="K782" s="46">
        <f t="shared" ca="1" si="465"/>
        <v>100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3" s="152">
        <f ca="1">IFERROR(__xludf.DUMMYFUNCTION("IMPORTRANGE(""https://docs.google.com/spreadsheets/d/10OvvATaaLtwErnr3qtWFcTmtbfpFEt5Bsqel9sXx0uE/edit?usp=sharing"",""งานกองทุน!P84"")"),21100.95)</f>
        <v>21100.95</v>
      </c>
      <c r="K783" s="46">
        <f t="shared" ca="1" si="465"/>
        <v>32.873877956782614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IFERROR(__xludf.DUMMYFUNCTION("IMPORTRANGE(""https://docs.google.com/spreadsheets/d/10OvvATaaLtwErnr3qtWFcTmtbfpFEt5Bsqel9sXx0uE/edit?usp=sharing"",""งานกองทุน!M84"")"),149)</f>
        <v>149</v>
      </c>
      <c r="J784" s="152">
        <f ca="1">IFERROR(__xludf.DUMMYFUNCTION("IMPORTRANGE(""https://docs.google.com/spreadsheets/d/10OvvATaaLtwErnr3qtWFcTmtbfpFEt5Bsqel9sXx0uE/edit?usp=sharing"",""งานกองทุน!O84"")"),58)</f>
        <v>58</v>
      </c>
      <c r="K784" s="46">
        <f t="shared" ca="1" si="465"/>
        <v>38.926174496644293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IFERROR(__xludf.DUMMYFUNCTION("IMPORTRANGE(""https://docs.google.com/spreadsheets/d/10OvvATaaLtwErnr3qtWFcTmtbfpFEt5Bsqel9sXx0uE/edit?usp=sharing"",""งานกองทุน!S84"")"),1400000)</f>
        <v>1400000</v>
      </c>
      <c r="J785" s="152">
        <f ca="1">IFERROR(__xludf.DUMMYFUNCTION("IMPORTRANGE(""https://docs.google.com/spreadsheets/d/10OvvATaaLtwErnr3qtWFcTmtbfpFEt5Bsqel9sXx0uE/edit?usp=sharing"",""งานกองทุน!U84"")"),1400000)</f>
        <v>1400000</v>
      </c>
      <c r="K785" s="46">
        <f t="shared" ca="1" si="465"/>
        <v>100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IFERROR(__xludf.DUMMYFUNCTION("IMPORTRANGE(""https://docs.google.com/spreadsheets/d/10OvvATaaLtwErnr3qtWFcTmtbfpFEt5Bsqel9sXx0uE/edit?usp=sharing"",""งานกองทุน!R84"")"),49)</f>
        <v>49</v>
      </c>
      <c r="J786" s="204">
        <f ca="1">IFERROR(__xludf.DUMMYFUNCTION("IMPORTRANGE(""https://docs.google.com/spreadsheets/d/10OvvATaaLtwErnr3qtWFcTmtbfpFEt5Bsqel9sXx0uE/edit?usp=sharing"",""งานกองทุน!T84"")"),28)</f>
        <v>28</v>
      </c>
      <c r="K786" s="110">
        <f t="shared" ca="1" si="465"/>
        <v>57.142857142857146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361C2-3B67-4A52-B21C-B67507D45908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6" width="12.5703125" bestFit="1" customWidth="1"/>
    <col min="17" max="18" width="18.7109375" bestFit="1" customWidth="1"/>
    <col min="19" max="19" width="15.140625" bestFit="1" customWidth="1"/>
    <col min="20" max="20" width="10.71093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1368850</v>
      </c>
      <c r="M19" s="34">
        <f t="shared" ca="1" si="0"/>
        <v>1391928</v>
      </c>
      <c r="N19" s="34">
        <f t="shared" ca="1" si="0"/>
        <v>948796.92</v>
      </c>
      <c r="O19" s="34">
        <f t="shared" ref="O19:O27" ca="1" si="1">IF(L19&gt;0,N19*100/L19,0)</f>
        <v>69.313432443291816</v>
      </c>
      <c r="P19" s="34">
        <f t="shared" ref="P19:P27" ca="1" si="2">IF(M19&gt;0,N19*100/M19,0)</f>
        <v>68.164224011586811</v>
      </c>
      <c r="Q19" s="34">
        <f t="shared" ref="Q19:S19" ca="1" si="3">Q20+Q21</f>
        <v>845565</v>
      </c>
      <c r="R19" s="34">
        <f t="shared" ca="1" si="3"/>
        <v>826815</v>
      </c>
      <c r="S19" s="34">
        <f t="shared" ca="1" si="3"/>
        <v>1720</v>
      </c>
      <c r="T19" s="34">
        <f t="shared" ref="T19:T27" ca="1" si="4">IF(Q19&gt;0,S19*100/Q19,0)</f>
        <v>0.20341428512296511</v>
      </c>
      <c r="U19" s="34">
        <f t="shared" ref="U19:U27" ca="1" si="5">IF(R19&gt;0,S19*100/R19,0)</f>
        <v>0.20802718866977499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1368850</v>
      </c>
      <c r="M21" s="38">
        <f t="shared" ca="1" si="6"/>
        <v>1391928</v>
      </c>
      <c r="N21" s="38">
        <f t="shared" ca="1" si="6"/>
        <v>948796.92</v>
      </c>
      <c r="O21" s="38">
        <f t="shared" ca="1" si="1"/>
        <v>69.313432443291816</v>
      </c>
      <c r="P21" s="38">
        <f t="shared" ca="1" si="2"/>
        <v>68.164224011586811</v>
      </c>
      <c r="Q21" s="38">
        <f t="shared" ca="1" si="7"/>
        <v>845565</v>
      </c>
      <c r="R21" s="38">
        <f t="shared" ca="1" si="7"/>
        <v>826815</v>
      </c>
      <c r="S21" s="38">
        <f t="shared" ca="1" si="7"/>
        <v>1720</v>
      </c>
      <c r="T21" s="38">
        <f t="shared" ca="1" si="4"/>
        <v>0.20341428512296511</v>
      </c>
      <c r="U21" s="38">
        <f t="shared" ca="1" si="5"/>
        <v>0.20802718866977499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1368850</v>
      </c>
      <c r="M22" s="46">
        <f t="shared" ca="1" si="8"/>
        <v>1391928</v>
      </c>
      <c r="N22" s="46">
        <f t="shared" ca="1" si="8"/>
        <v>948796.92</v>
      </c>
      <c r="O22" s="46">
        <f t="shared" ca="1" si="1"/>
        <v>69.313432443291816</v>
      </c>
      <c r="P22" s="46">
        <f t="shared" ca="1" si="2"/>
        <v>68.164224011586811</v>
      </c>
      <c r="Q22" s="46">
        <f t="shared" ref="Q22:S22" ca="1" si="9">Q23+Q24</f>
        <v>845565</v>
      </c>
      <c r="R22" s="46">
        <f t="shared" ca="1" si="9"/>
        <v>826815</v>
      </c>
      <c r="S22" s="46">
        <f t="shared" ca="1" si="9"/>
        <v>1720</v>
      </c>
      <c r="T22" s="46">
        <f t="shared" ca="1" si="4"/>
        <v>0.20341428512296511</v>
      </c>
      <c r="U22" s="46">
        <f t="shared" ca="1" si="5"/>
        <v>0.20802718866977499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1368850</v>
      </c>
      <c r="M24" s="46">
        <f t="shared" ca="1" si="10"/>
        <v>1391928</v>
      </c>
      <c r="N24" s="46">
        <f t="shared" ca="1" si="10"/>
        <v>948796.92</v>
      </c>
      <c r="O24" s="46">
        <f t="shared" ca="1" si="1"/>
        <v>69.313432443291816</v>
      </c>
      <c r="P24" s="46">
        <f t="shared" ca="1" si="2"/>
        <v>68.164224011586811</v>
      </c>
      <c r="Q24" s="46">
        <f t="shared" ca="1" si="11"/>
        <v>845565</v>
      </c>
      <c r="R24" s="46">
        <f t="shared" ca="1" si="11"/>
        <v>826815</v>
      </c>
      <c r="S24" s="46">
        <f t="shared" ca="1" si="11"/>
        <v>1720</v>
      </c>
      <c r="T24" s="46">
        <f t="shared" ca="1" si="4"/>
        <v>0.20341428512296511</v>
      </c>
      <c r="U24" s="46">
        <f t="shared" ca="1" si="5"/>
        <v>0.20802718866977499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1368850</v>
      </c>
      <c r="M41" s="525">
        <f t="shared" ca="1" si="16"/>
        <v>1391928</v>
      </c>
      <c r="N41" s="525">
        <f t="shared" ca="1" si="16"/>
        <v>948796.92</v>
      </c>
      <c r="O41" s="525">
        <f ca="1">IF(L41&gt;0,N41*100/L41,0)</f>
        <v>69.313432443291816</v>
      </c>
      <c r="P41" s="525">
        <f ca="1">IF(M41&gt;0,N41*100/M41,0)</f>
        <v>68.164224011586811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134400</v>
      </c>
      <c r="M45" s="78">
        <f t="shared" ca="1" si="17"/>
        <v>144418</v>
      </c>
      <c r="N45" s="78">
        <f t="shared" ca="1" si="17"/>
        <v>87676</v>
      </c>
      <c r="O45" s="78">
        <f t="shared" ref="O45:O53" ca="1" si="18">IF(L45&gt;0,N45*100/L45,0)</f>
        <v>65.235119047619051</v>
      </c>
      <c r="P45" s="78">
        <f t="shared" ref="P45:P53" ca="1" si="19">IF(M45&gt;0,N45*100/M45,0)</f>
        <v>60.709883809497434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134400</v>
      </c>
      <c r="M47" s="82">
        <f t="shared" ca="1" si="23"/>
        <v>144418</v>
      </c>
      <c r="N47" s="82">
        <f t="shared" ca="1" si="23"/>
        <v>87676</v>
      </c>
      <c r="O47" s="82">
        <f t="shared" ca="1" si="18"/>
        <v>65.235119047619051</v>
      </c>
      <c r="P47" s="82">
        <f t="shared" ca="1" si="19"/>
        <v>60.709883809497434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134400</v>
      </c>
      <c r="M48" s="46">
        <f t="shared" ca="1" si="25"/>
        <v>144418</v>
      </c>
      <c r="N48" s="46">
        <f t="shared" ca="1" si="25"/>
        <v>87676</v>
      </c>
      <c r="O48" s="46">
        <f t="shared" ca="1" si="18"/>
        <v>65.235119047619051</v>
      </c>
      <c r="P48" s="46">
        <f t="shared" ca="1" si="19"/>
        <v>60.709883809497434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IFERROR(__xludf.DUMMYFUNCTION("IMPORTRANGE(""https://docs.google.com/spreadsheets/d/1-uDff_7J0KD5mKrp0Vvzr7lt3OU09vwQwhkpOPPYv2Y/edit?usp=sharing"",""งบพรบ!P85"")"),134400)</f>
        <v>134400</v>
      </c>
      <c r="M50" s="46">
        <f ca="1">IFERROR(__xludf.DUMMYFUNCTION("IMPORTRANGE(""https://docs.google.com/spreadsheets/d/1-uDff_7J0KD5mKrp0Vvzr7lt3OU09vwQwhkpOPPYv2Y/edit?usp=sharing"",""งบพรบ!V85"")"),144418)</f>
        <v>144418</v>
      </c>
      <c r="N50" s="46">
        <f ca="1">IFERROR(__xludf.DUMMYFUNCTION("IMPORTRANGE(""https://docs.google.com/spreadsheets/d/1-uDff_7J0KD5mKrp0Vvzr7lt3OU09vwQwhkpOPPYv2Y/edit?usp=sharing"",""งบพรบ!Y85"")"),87676)</f>
        <v>87676</v>
      </c>
      <c r="O50" s="46">
        <f t="shared" ca="1" si="18"/>
        <v>65.235119047619051</v>
      </c>
      <c r="P50" s="46">
        <f t="shared" ca="1" si="19"/>
        <v>60.709883809497434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IFERROR(__xludf.DUMMYFUNCTION("IMPORTRANGE(""https://docs.google.com/spreadsheets/d/1-uDff_7J0KD5mKrp0Vvzr7lt3OU09vwQwhkpOPPYv2Y/edit?usp=sharing"",""งบพรบ!S85"")"),0)</f>
        <v>0</v>
      </c>
      <c r="M53" s="46">
        <f ca="1">IFERROR(__xludf.DUMMYFUNCTION("IMPORTRANGE(""https://docs.google.com/spreadsheets/d/1-uDff_7J0KD5mKrp0Vvzr7lt3OU09vwQwhkpOPPYv2Y/edit?usp=sharing"",""งบพรบ!W85"")"),0)</f>
        <v>0</v>
      </c>
      <c r="N53" s="46">
        <f ca="1">IFERROR(__xludf.DUMMYFUNCTION("IMPORTRANGE(""https://docs.google.com/spreadsheets/d/1-uDff_7J0KD5mKrp0Vvzr7lt3OU09vwQwhkpOPPYv2Y/edit?usp=sharing"",""งบพรบ!Z85"")"),0)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435600</v>
      </c>
      <c r="M60" s="105">
        <f t="shared" ca="1" si="29"/>
        <v>436100</v>
      </c>
      <c r="N60" s="105">
        <f t="shared" ca="1" si="29"/>
        <v>321787.71000000002</v>
      </c>
      <c r="O60" s="105">
        <f t="shared" ref="O60:O68" ca="1" si="30">IF(L60&gt;0,N60*100/L60,0)</f>
        <v>73.872293388429767</v>
      </c>
      <c r="P60" s="105">
        <f t="shared" ref="P60:P68" ca="1" si="31">IF(M60&gt;0,N60*100/M60,0)</f>
        <v>73.787596881449218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435600</v>
      </c>
      <c r="M62" s="108">
        <f t="shared" ca="1" si="35"/>
        <v>436100</v>
      </c>
      <c r="N62" s="108">
        <f t="shared" ca="1" si="35"/>
        <v>321787.71000000002</v>
      </c>
      <c r="O62" s="108">
        <f t="shared" ca="1" si="30"/>
        <v>73.872293388429767</v>
      </c>
      <c r="P62" s="108">
        <f t="shared" ca="1" si="31"/>
        <v>73.787596881449218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435600</v>
      </c>
      <c r="M63" s="46">
        <f t="shared" ca="1" si="37"/>
        <v>436100</v>
      </c>
      <c r="N63" s="46">
        <f t="shared" ca="1" si="37"/>
        <v>321787.71000000002</v>
      </c>
      <c r="O63" s="46">
        <f t="shared" ca="1" si="30"/>
        <v>73.872293388429767</v>
      </c>
      <c r="P63" s="46">
        <f t="shared" ca="1" si="31"/>
        <v>73.787596881449218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IFERROR(__xludf.DUMMYFUNCTION("IMPORTRANGE(""https://docs.google.com/spreadsheets/d/1-uDff_7J0KD5mKrp0Vvzr7lt3OU09vwQwhkpOPPYv2Y/edit?usp=sharing"",""งบพรบ!AC85"")"),435600)</f>
        <v>435600</v>
      </c>
      <c r="M65" s="46">
        <f ca="1">IFERROR(__xludf.DUMMYFUNCTION("IMPORTRANGE(""https://docs.google.com/spreadsheets/d/1-uDff_7J0KD5mKrp0Vvzr7lt3OU09vwQwhkpOPPYv2Y/edit?usp=sharing"",""งบพรบ!AH85"")"),436100)</f>
        <v>436100</v>
      </c>
      <c r="N65" s="46">
        <f ca="1">IFERROR(__xludf.DUMMYFUNCTION("IMPORTRANGE(""https://docs.google.com/spreadsheets/d/1-uDff_7J0KD5mKrp0Vvzr7lt3OU09vwQwhkpOPPYv2Y/edit?usp=sharing"",""งบพรบ!AJ85"")"),321787.71)</f>
        <v>321787.71000000002</v>
      </c>
      <c r="O65" s="46">
        <f t="shared" ca="1" si="30"/>
        <v>73.872293388429767</v>
      </c>
      <c r="P65" s="46">
        <f t="shared" ca="1" si="31"/>
        <v>73.787596881449218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IFERROR(__xludf.DUMMYFUNCTION("IMPORTRANGE(""https://docs.google.com/spreadsheets/d/1-uDff_7J0KD5mKrp0Vvzr7lt3OU09vwQwhkpOPPYv2Y/edit?usp=sharing"",""งบพรบ!AF85"")"),0)</f>
        <v>0</v>
      </c>
      <c r="M68" s="110">
        <f ca="1">IFERROR(__xludf.DUMMYFUNCTION("IMPORTRANGE(""https://docs.google.com/spreadsheets/d/1-uDff_7J0KD5mKrp0Vvzr7lt3OU09vwQwhkpOPPYv2Y/edit?usp=sharing"",""งบพรบ!AI85"")"),0)</f>
        <v>0</v>
      </c>
      <c r="N68" s="110">
        <f ca="1">IFERROR(__xludf.DUMMYFUNCTION("IMPORTRANGE(""https://docs.google.com/spreadsheets/d/1-uDff_7J0KD5mKrp0Vvzr7lt3OU09vwQwhkpOPPYv2Y/edit?usp=sharing"",""งบพรบ!AK85"")"),0)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IFERROR(__xludf.DUMMYFUNCTION("IMPORTRANGE(""https://docs.google.com/spreadsheets/d/1-uDff_7J0KD5mKrp0Vvzr7lt3OU09vwQwhkpOPPYv2Y/edit?usp=sharing"",""งบพรบ!AM85"")"),0)</f>
        <v>0</v>
      </c>
      <c r="M78" s="46">
        <f ca="1">IFERROR(__xludf.DUMMYFUNCTION("IMPORTRANGE(""https://docs.google.com/spreadsheets/d/1-uDff_7J0KD5mKrp0Vvzr7lt3OU09vwQwhkpOPPYv2Y/edit?usp=sharing"",""งบพรบ!AR85"")"),0)</f>
        <v>0</v>
      </c>
      <c r="N78" s="46">
        <f ca="1">IFERROR(__xludf.DUMMYFUNCTION("IMPORTRANGE(""https://docs.google.com/spreadsheets/d/1-uDff_7J0KD5mKrp0Vvzr7lt3OU09vwQwhkpOPPYv2Y/edit?usp=sharing"",""งบพรบ!AT85"")"),0)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IFERROR(__xludf.DUMMYFUNCTION("IMPORTRANGE(""https://docs.google.com/spreadsheets/d/1ItG2mGa2ceCfYo0BwxsXqNm01IGEUdYcSSLTEv9YCik/edit?usp=sharing"",""เบิกจ่ายกองทุน!AS85"")"),0)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IFERROR(__xludf.DUMMYFUNCTION("IMPORTRANGE(""https://docs.google.com/spreadsheets/d/1ItG2mGa2ceCfYo0BwxsXqNm01IGEUdYcSSLTEv9YCik/edit?usp=sharing"",""เบิกจ่ายกองทุน!AT85"")"),0)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IFERROR(__xludf.DUMMYFUNCTION("IMPORTRANGE(""https://docs.google.com/spreadsheets/d/1ItG2mGa2ceCfYo0BwxsXqNm01IGEUdYcSSLTEv9YCik/edit?usp=sharing"",""เบิกจ่ายกองทุน!AU85"")"),0)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IFERROR(__xludf.DUMMYFUNCTION("IMPORTRANGE(""https://docs.google.com/spreadsheets/d/1-uDff_7J0KD5mKrp0Vvzr7lt3OU09vwQwhkpOPPYv2Y/edit?usp=sharing"",""งบพรบ!AP85"")"),0)</f>
        <v>0</v>
      </c>
      <c r="M81" s="46">
        <f ca="1">IFERROR(__xludf.DUMMYFUNCTION("IMPORTRANGE(""https://docs.google.com/spreadsheets/d/1-uDff_7J0KD5mKrp0Vvzr7lt3OU09vwQwhkpOPPYv2Y/edit?usp=sharing"",""งบพรบ!AS85"")"),0)</f>
        <v>0</v>
      </c>
      <c r="N81" s="46">
        <f ca="1">IFERROR(__xludf.DUMMYFUNCTION("IMPORTRANGE(""https://docs.google.com/spreadsheets/d/1-uDff_7J0KD5mKrp0Vvzr7lt3OU09vwQwhkpOPPYv2Y/edit?usp=sharing"",""งบพรบ!AU85"")"),0)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IFERROR(__xludf.DUMMYFUNCTION("IMPORTRANGE(""https://docs.google.com/spreadsheets/d/1eHaY18a8A9IcSdp1K8H6x8fbOy06t2VsZHhMHf-1x7Y/edit?usp=sharing"",""แผน!H85"")"),0)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IFERROR(__xludf.DUMMYFUNCTION("IMPORTRANGE(""https://docs.google.com/spreadsheets/d/1eHaY18a8A9IcSdp1K8H6x8fbOy06t2VsZHhMHf-1x7Y/edit?usp=sharing"",""แผน!I85"")"),0)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IFERROR(__xludf.DUMMYFUNCTION("IMPORTRANGE(""https://docs.google.com/spreadsheets/d/1eHaY18a8A9IcSdp1K8H6x8fbOy06t2VsZHhMHf-1x7Y/edit?usp=sharing"",""แผน!F85"")"),0)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IFERROR(__xludf.DUMMYFUNCTION("IMPORTRANGE(""https://docs.google.com/spreadsheets/d/1eHaY18a8A9IcSdp1K8H6x8fbOy06t2VsZHhMHf-1x7Y/edit?usp=sharing"",""แผน!G85"")"),0)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IFERROR(__xludf.DUMMYFUNCTION("IMPORTRANGE(""https://docs.google.com/spreadsheets/d/1eHaY18a8A9IcSdp1K8H6x8fbOy06t2VsZHhMHf-1x7Y/edit?usp=sharing"",""แผน!D85"")"),0)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IFERROR(__xludf.DUMMYFUNCTION("IMPORTRANGE(""https://docs.google.com/spreadsheets/d/1eHaY18a8A9IcSdp1K8H6x8fbOy06t2VsZHhMHf-1x7Y/edit?usp=sharing"",""แผน!E85"")"),0)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IFERROR(__xludf.DUMMYFUNCTION("IMPORTRANGE(""https://docs.google.com/spreadsheets/d/1eHaY18a8A9IcSdp1K8H6x8fbOy06t2VsZHhMHf-1x7Y/edit?usp=sharing"",""แผน!J85"")"),0)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IFERROR(__xludf.DUMMYFUNCTION("IMPORTRANGE(""https://docs.google.com/spreadsheets/d/1-uDff_7J0KD5mKrp0Vvzr7lt3OU09vwQwhkpOPPYv2Y/edit?usp=sharing"",""งบพรบ!AW85"")"),0)</f>
        <v>0</v>
      </c>
      <c r="M100" s="46">
        <f ca="1">IFERROR(__xludf.DUMMYFUNCTION("IMPORTRANGE(""https://docs.google.com/spreadsheets/d/1-uDff_7J0KD5mKrp0Vvzr7lt3OU09vwQwhkpOPPYv2Y/edit?usp=sharing"",""งบพรบ!BB85"")"),0)</f>
        <v>0</v>
      </c>
      <c r="N100" s="46">
        <f ca="1">IFERROR(__xludf.DUMMYFUNCTION("IMPORTRANGE(""https://docs.google.com/spreadsheets/d/1-uDff_7J0KD5mKrp0Vvzr7lt3OU09vwQwhkpOPPYv2Y/edit?usp=sharing"",""งบพรบ!BD85"")"),0)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IFERROR(__xludf.DUMMYFUNCTION("IMPORTRANGE(""https://docs.google.com/spreadsheets/d/1ItG2mGa2ceCfYo0BwxsXqNm01IGEUdYcSSLTEv9YCik/edit?usp=sharing"",""เบิกจ่ายกองทุน!AD85"")"),0)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IFERROR(__xludf.DUMMYFUNCTION("IMPORTRANGE(""https://docs.google.com/spreadsheets/d/1ItG2mGa2ceCfYo0BwxsXqNm01IGEUdYcSSLTEv9YCik/edit?usp=sharing"",""เบิกจ่ายกองทุน!AE85"")"),0)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IFERROR(__xludf.DUMMYFUNCTION("IMPORTRANGE(""https://docs.google.com/spreadsheets/d/1ItG2mGa2ceCfYo0BwxsXqNm01IGEUdYcSSLTEv9YCik/edit?usp=sharing"",""เบิกจ่ายกองทุน!AF85"")"),0)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IFERROR(__xludf.DUMMYFUNCTION("IMPORTRANGE(""https://docs.google.com/spreadsheets/d/1-uDff_7J0KD5mKrp0Vvzr7lt3OU09vwQwhkpOPPYv2Y/edit?usp=sharing"",""งบพรบ!AZ85"")"),0)</f>
        <v>0</v>
      </c>
      <c r="M103" s="46">
        <f ca="1">IFERROR(__xludf.DUMMYFUNCTION("IMPORTRANGE(""https://docs.google.com/spreadsheets/d/1-uDff_7J0KD5mKrp0Vvzr7lt3OU09vwQwhkpOPPYv2Y/edit?usp=sharing"",""งบพรบ!BC85"")"),0)</f>
        <v>0</v>
      </c>
      <c r="N103" s="46">
        <f ca="1">IFERROR(__xludf.DUMMYFUNCTION("IMPORTRANGE(""https://docs.google.com/spreadsheets/d/1-uDff_7J0KD5mKrp0Vvzr7lt3OU09vwQwhkpOPPYv2Y/edit?usp=sharing"",""งบพรบ!BE85"")"),0)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IFERROR(__xludf.DUMMYFUNCTION("IMPORTRANGE(""https://docs.google.com/spreadsheets/d/1eHaY18a8A9IcSdp1K8H6x8fbOy06t2VsZHhMHf-1x7Y/edit?usp=sharing"",""แผน!N85"")"),0)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IFERROR(__xludf.DUMMYFUNCTION("IMPORTRANGE(""https://docs.google.com/spreadsheets/d/1eHaY18a8A9IcSdp1K8H6x8fbOy06t2VsZHhMHf-1x7Y/edit?usp=sharing"",""แผน!O85"")"),0)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IFERROR(__xludf.DUMMYFUNCTION("IMPORTRANGE(""https://docs.google.com/spreadsheets/d/1eHaY18a8A9IcSdp1K8H6x8fbOy06t2VsZHhMHf-1x7Y/edit?usp=sharing"",""แผน!R85"")"),0)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15</v>
      </c>
      <c r="J117" s="127">
        <f t="shared" si="72"/>
        <v>0</v>
      </c>
      <c r="K117" s="34">
        <f ca="1">IF(I117&gt;0,J117*100/I117,0)</f>
        <v>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191460</v>
      </c>
      <c r="R118" s="132">
        <f t="shared" ca="1" si="76"/>
        <v>191460</v>
      </c>
      <c r="S118" s="132">
        <f t="shared" ca="1" si="76"/>
        <v>0</v>
      </c>
      <c r="T118" s="132">
        <f t="shared" ref="T118:T126" ca="1" si="77">IF(Q118&gt;0,S118*100/Q118,0)</f>
        <v>0</v>
      </c>
      <c r="U118" s="132">
        <f t="shared" ref="U118:U126" ca="1" si="7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191460</v>
      </c>
      <c r="R120" s="46">
        <f t="shared" ca="1" si="80"/>
        <v>191460</v>
      </c>
      <c r="S120" s="46">
        <f t="shared" ca="1" si="80"/>
        <v>0</v>
      </c>
      <c r="T120" s="46">
        <f t="shared" ca="1" si="77"/>
        <v>0</v>
      </c>
      <c r="U120" s="46">
        <f t="shared" ca="1" si="78"/>
        <v>0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191460</v>
      </c>
      <c r="R121" s="46">
        <f t="shared" ca="1" si="82"/>
        <v>191460</v>
      </c>
      <c r="S121" s="46">
        <f t="shared" ca="1" si="82"/>
        <v>0</v>
      </c>
      <c r="T121" s="46">
        <f t="shared" ca="1" si="77"/>
        <v>0</v>
      </c>
      <c r="U121" s="46">
        <f t="shared" ca="1" si="78"/>
        <v>0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IFERROR(__xludf.DUMMYFUNCTION("IMPORTRANGE(""https://docs.google.com/spreadsheets/d/1-uDff_7J0KD5mKrp0Vvzr7lt3OU09vwQwhkpOPPYv2Y/edit?usp=sharing"",""งบพรบ!BG85"")"),0)</f>
        <v>0</v>
      </c>
      <c r="M123" s="46">
        <f ca="1">IFERROR(__xludf.DUMMYFUNCTION("IMPORTRANGE(""https://docs.google.com/spreadsheets/d/1-uDff_7J0KD5mKrp0Vvzr7lt3OU09vwQwhkpOPPYv2Y/edit?usp=sharing"",""งบพรบ!BL85"")"),0)</f>
        <v>0</v>
      </c>
      <c r="N123" s="46">
        <f ca="1">IFERROR(__xludf.DUMMYFUNCTION("IMPORTRANGE(""https://docs.google.com/spreadsheets/d/1-uDff_7J0KD5mKrp0Vvzr7lt3OU09vwQwhkpOPPYv2Y/edit?usp=sharing"",""งบพรบ!BN85"")"),0)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IFERROR(__xludf.DUMMYFUNCTION("IMPORTRANGE(""https://docs.google.com/spreadsheets/d/1ItG2mGa2ceCfYo0BwxsXqNm01IGEUdYcSSLTEv9YCik/edit?usp=sharing"",""เบิกจ่ายกองทุน!R85"")"),191460)</f>
        <v>191460</v>
      </c>
      <c r="R123" s="46">
        <f ca="1">IFERROR(__xludf.DUMMYFUNCTION("IMPORTRANGE(""https://docs.google.com/spreadsheets/d/1ItG2mGa2ceCfYo0BwxsXqNm01IGEUdYcSSLTEv9YCik/edit?usp=sharing"",""เบิกจ่ายกองทุน!S85"")"),191460)</f>
        <v>191460</v>
      </c>
      <c r="S123" s="46">
        <f ca="1">IFERROR(__xludf.DUMMYFUNCTION("IMPORTRANGE(""https://docs.google.com/spreadsheets/d/1ItG2mGa2ceCfYo0BwxsXqNm01IGEUdYcSSLTEv9YCik/edit?usp=sharing"",""เบิกจ่ายกองทุน!T85"")"),0)</f>
        <v>0</v>
      </c>
      <c r="T123" s="46">
        <f t="shared" ca="1" si="77"/>
        <v>0</v>
      </c>
      <c r="U123" s="46">
        <f t="shared" ca="1" si="78"/>
        <v>0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IFERROR(__xludf.DUMMYFUNCTION("IMPORTRANGE(""https://docs.google.com/spreadsheets/d/1-uDff_7J0KD5mKrp0Vvzr7lt3OU09vwQwhkpOPPYv2Y/edit?usp=sharing"",""งบพรบ!BJ85"")"),0)</f>
        <v>0</v>
      </c>
      <c r="M126" s="46">
        <f ca="1">IFERROR(__xludf.DUMMYFUNCTION("IMPORTRANGE(""https://docs.google.com/spreadsheets/d/1-uDff_7J0KD5mKrp0Vvzr7lt3OU09vwQwhkpOPPYv2Y/edit?usp=sharing"",""งบพรบ!BM85"")"),0)</f>
        <v>0</v>
      </c>
      <c r="N126" s="46">
        <f ca="1">IFERROR(__xludf.DUMMYFUNCTION("IMPORTRANGE(""https://docs.google.com/spreadsheets/d/1-uDff_7J0KD5mKrp0Vvzr7lt3OU09vwQwhkpOPPYv2Y/edit?usp=sharing"",""งบพรบ!BO85"")"),0)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IFERROR(__xludf.DUMMYFUNCTION("IMPORTRANGE(""https://docs.google.com/spreadsheets/d/1eHaY18a8A9IcSdp1K8H6x8fbOy06t2VsZHhMHf-1x7Y/edit?usp=sharing"",""แผน!FF85"")"),15)</f>
        <v>15</v>
      </c>
      <c r="J128" s="168">
        <v>0</v>
      </c>
      <c r="K128" s="46">
        <f t="shared" ref="K128:K131" ca="1" si="85">IF(I128&gt;0,J128*100/I128,0)</f>
        <v>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IFERROR(__xludf.DUMMYFUNCTION("IMPORTRANGE(""https://docs.google.com/spreadsheets/d/1eHaY18a8A9IcSdp1K8H6x8fbOy06t2VsZHhMHf-1x7Y/edit?usp=sharing"",""แผน!FG85"")"),0)</f>
        <v>0</v>
      </c>
      <c r="J129" s="168">
        <v>0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IFERROR(__xludf.DUMMYFUNCTION("IMPORTRANGE(""https://docs.google.com/spreadsheets/d/1eHaY18a8A9IcSdp1K8H6x8fbOy06t2VsZHhMHf-1x7Y/edit?usp=sharing"",""แผน!FH85"")"),15)</f>
        <v>15</v>
      </c>
      <c r="J130" s="168">
        <v>0</v>
      </c>
      <c r="K130" s="46">
        <f t="shared" ca="1" si="85"/>
        <v>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IFERROR(__xludf.DUMMYFUNCTION("IMPORTRANGE(""https://docs.google.com/spreadsheets/d/1eHaY18a8A9IcSdp1K8H6x8fbOy06t2VsZHhMHf-1x7Y/edit?usp=sharing"",""แผน!FI85"")"),0)</f>
        <v>0</v>
      </c>
      <c r="J131" s="168">
        <v>0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2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30</v>
      </c>
      <c r="J138" s="127">
        <f t="shared" si="88"/>
        <v>0</v>
      </c>
      <c r="K138" s="34">
        <f t="shared" ca="1" si="87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3</v>
      </c>
      <c r="J139" s="127">
        <f t="shared" si="88"/>
        <v>0</v>
      </c>
      <c r="K139" s="34">
        <f t="shared" ca="1" si="87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66500</v>
      </c>
      <c r="M140" s="132">
        <f t="shared" ca="1" si="89"/>
        <v>61500</v>
      </c>
      <c r="N140" s="132">
        <f t="shared" ca="1" si="89"/>
        <v>2280</v>
      </c>
      <c r="O140" s="132">
        <f t="shared" ref="O140:O148" ca="1" si="90">IF(L140&gt;0,N140*100/L140,0)</f>
        <v>3.4285714285714284</v>
      </c>
      <c r="P140" s="132">
        <f t="shared" ref="P140:P148" ca="1" si="91">IF(M140&gt;0,N140*100/M140,0)</f>
        <v>3.7073170731707319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66500</v>
      </c>
      <c r="M142" s="46">
        <f t="shared" ca="1" si="95"/>
        <v>61500</v>
      </c>
      <c r="N142" s="46">
        <f t="shared" ca="1" si="95"/>
        <v>2280</v>
      </c>
      <c r="O142" s="46">
        <f t="shared" ca="1" si="90"/>
        <v>3.4285714285714284</v>
      </c>
      <c r="P142" s="46">
        <f t="shared" ca="1" si="91"/>
        <v>3.7073170731707319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66500</v>
      </c>
      <c r="M143" s="46">
        <f t="shared" ca="1" si="97"/>
        <v>61500</v>
      </c>
      <c r="N143" s="46">
        <f t="shared" ca="1" si="97"/>
        <v>2280</v>
      </c>
      <c r="O143" s="46">
        <f t="shared" ca="1" si="90"/>
        <v>3.4285714285714284</v>
      </c>
      <c r="P143" s="46">
        <f t="shared" ca="1" si="91"/>
        <v>3.7073170731707319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IFERROR(__xludf.DUMMYFUNCTION("IMPORTRANGE(""https://docs.google.com/spreadsheets/d/1-uDff_7J0KD5mKrp0Vvzr7lt3OU09vwQwhkpOPPYv2Y/edit?usp=sharing"",""งบพรบ!BQ85"")"),66500)</f>
        <v>66500</v>
      </c>
      <c r="M145" s="46">
        <f ca="1">IFERROR(__xludf.DUMMYFUNCTION("IMPORTRANGE(""https://docs.google.com/spreadsheets/d/1-uDff_7J0KD5mKrp0Vvzr7lt3OU09vwQwhkpOPPYv2Y/edit?usp=sharing"",""งบพรบ!BV85"")"),61500)</f>
        <v>61500</v>
      </c>
      <c r="N145" s="46">
        <f ca="1">IFERROR(__xludf.DUMMYFUNCTION("IMPORTRANGE(""https://docs.google.com/spreadsheets/d/1-uDff_7J0KD5mKrp0Vvzr7lt3OU09vwQwhkpOPPYv2Y/edit?usp=sharing"",""งบพรบ!BX85"")"),2280)</f>
        <v>2280</v>
      </c>
      <c r="O145" s="46">
        <f t="shared" ca="1" si="90"/>
        <v>3.4285714285714284</v>
      </c>
      <c r="P145" s="46">
        <f t="shared" ca="1" si="91"/>
        <v>3.7073170731707319</v>
      </c>
      <c r="Q145" s="46">
        <f ca="1">IFERROR(__xludf.DUMMYFUNCTION("IMPORTRANGE(""https://docs.google.com/spreadsheets/d/1ItG2mGa2ceCfYo0BwxsXqNm01IGEUdYcSSLTEv9YCik/edit?usp=sharing"",""เบิกจ่ายกองทุน!BB85"")"),0)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IFERROR(__xludf.DUMMYFUNCTION("IMPORTRANGE(""https://docs.google.com/spreadsheets/d/1ItG2mGa2ceCfYo0BwxsXqNm01IGEUdYcSSLTEv9YCik/edit?usp=sharing"",""เบิกจ่ายกองทุน!BC85"")"),0)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IFERROR(__xludf.DUMMYFUNCTION("IMPORTRANGE(""https://docs.google.com/spreadsheets/d/1ItG2mGa2ceCfYo0BwxsXqNm01IGEUdYcSSLTEv9YCik/edit?usp=sharing"",""เบิกจ่ายกองทุน!BD85"")"),0)</f>
        <v>0</v>
      </c>
      <c r="T145" s="46">
        <f t="shared" ca="1" si="93"/>
        <v>0</v>
      </c>
      <c r="U145" s="46">
        <f t="shared" ca="1" si="94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IFERROR(__xludf.DUMMYFUNCTION("IMPORTRANGE(""https://docs.google.com/spreadsheets/d/1-uDff_7J0KD5mKrp0Vvzr7lt3OU09vwQwhkpOPPYv2Y/edit?usp=sharing"",""งบพรบ!BT85"")"),0)</f>
        <v>0</v>
      </c>
      <c r="M148" s="46">
        <f ca="1">IFERROR(__xludf.DUMMYFUNCTION("IMPORTRANGE(""https://docs.google.com/spreadsheets/d/1-uDff_7J0KD5mKrp0Vvzr7lt3OU09vwQwhkpOPPYv2Y/edit?usp=sharing"",""งบพรบ!BW85"")"),0)</f>
        <v>0</v>
      </c>
      <c r="N148" s="46">
        <f ca="1">IFERROR(__xludf.DUMMYFUNCTION("IMPORTRANGE(""https://docs.google.com/spreadsheets/d/1-uDff_7J0KD5mKrp0Vvzr7lt3OU09vwQwhkpOPPYv2Y/edit?usp=sharing"",""งบพรบ!BY85"")"),0)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IFERROR(__xludf.DUMMYFUNCTION("IMPORTRANGE(""https://docs.google.com/spreadsheets/d/1eHaY18a8A9IcSdp1K8H6x8fbOy06t2VsZHhMHf-1x7Y/edit?usp=sharing"",""แผน!U85"")"),20)</f>
        <v>20</v>
      </c>
      <c r="J151" s="168">
        <v>0</v>
      </c>
      <c r="K151" s="46">
        <f t="shared" ref="K151:K155" ca="1" si="101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IFERROR(__xludf.DUMMYFUNCTION("IMPORTRANGE(""https://docs.google.com/spreadsheets/d/1eHaY18a8A9IcSdp1K8H6x8fbOy06t2VsZHhMHf-1x7Y/edit?usp=sharing"",""แผน!V85"")"),2)</f>
        <v>2</v>
      </c>
      <c r="J152" s="168">
        <v>0</v>
      </c>
      <c r="K152" s="46">
        <f t="shared" ca="1" si="101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IFERROR(__xludf.DUMMYFUNCTION("IMPORTRANGE(""https://docs.google.com/spreadsheets/d/1eHaY18a8A9IcSdp1K8H6x8fbOy06t2VsZHhMHf-1x7Y/edit?usp=sharing"",""แผน!W85"")"),30)</f>
        <v>30</v>
      </c>
      <c r="J153" s="168">
        <v>0</v>
      </c>
      <c r="K153" s="46">
        <f t="shared" ca="1" si="101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IFERROR(__xludf.DUMMYFUNCTION("IMPORTRANGE(""https://docs.google.com/spreadsheets/d/1eHaY18a8A9IcSdp1K8H6x8fbOy06t2VsZHhMHf-1x7Y/edit?usp=sharing"",""แผน!X85"")"),3)</f>
        <v>3</v>
      </c>
      <c r="J154" s="168">
        <v>0</v>
      </c>
      <c r="K154" s="46">
        <f t="shared" ca="1" si="101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IFERROR(__xludf.DUMMYFUNCTION("IMPORTRANGE(""https://docs.google.com/spreadsheets/d/1eHaY18a8A9IcSdp1K8H6x8fbOy06t2VsZHhMHf-1x7Y/edit?usp=sharing"",""แผน!Y85"")"),2)</f>
        <v>2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IFERROR(__xludf.DUMMYFUNCTION("IMPORTRANGE(""https://docs.google.com/spreadsheets/d/1-uDff_7J0KD5mKrp0Vvzr7lt3OU09vwQwhkpOPPYv2Y/edit?usp=sharing"",""งบพรบ!CA85"")"),0)</f>
        <v>0</v>
      </c>
      <c r="M163" s="46">
        <f ca="1">IFERROR(__xludf.DUMMYFUNCTION("IMPORTRANGE(""https://docs.google.com/spreadsheets/d/1-uDff_7J0KD5mKrp0Vvzr7lt3OU09vwQwhkpOPPYv2Y/edit?usp=sharing"",""งบพรบ!CF85"")"),0)</f>
        <v>0</v>
      </c>
      <c r="N163" s="46">
        <f ca="1">IFERROR(__xludf.DUMMYFUNCTION("IMPORTRANGE(""https://docs.google.com/spreadsheets/d/1-uDff_7J0KD5mKrp0Vvzr7lt3OU09vwQwhkpOPPYv2Y/edit?usp=sharing"",""งบพรบ!CH85"")"),0)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IFERROR(__xludf.DUMMYFUNCTION("IMPORTRANGE(""https://docs.google.com/spreadsheets/d/1ItG2mGa2ceCfYo0BwxsXqNm01IGEUdYcSSLTEv9YCik/edit?usp=sharing"",""เบิกจ่ายกองทุน!AG85"")"),0)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IFERROR(__xludf.DUMMYFUNCTION("IMPORTRANGE(""https://docs.google.com/spreadsheets/d/1ItG2mGa2ceCfYo0BwxsXqNm01IGEUdYcSSLTEv9YCik/edit?usp=sharing"",""เบิกจ่ายกองทุน!AH85"")"),0)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IFERROR(__xludf.DUMMYFUNCTION("IMPORTRANGE(""https://docs.google.com/spreadsheets/d/1ItG2mGa2ceCfYo0BwxsXqNm01IGEUdYcSSLTEv9YCik/edit?usp=sharing"",""เบิกจ่ายกองทุน!AI85"")"),0)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IFERROR(__xludf.DUMMYFUNCTION("IMPORTRANGE(""https://docs.google.com/spreadsheets/d/1-uDff_7J0KD5mKrp0Vvzr7lt3OU09vwQwhkpOPPYv2Y/edit?usp=sharing"",""งบพรบ!CD85"")"),0)</f>
        <v>0</v>
      </c>
      <c r="M166" s="46">
        <f ca="1">IFERROR(__xludf.DUMMYFUNCTION("IMPORTRANGE(""https://docs.google.com/spreadsheets/d/1-uDff_7J0KD5mKrp0Vvzr7lt3OU09vwQwhkpOPPYv2Y/edit?usp=sharing"",""งบพรบ!CG85"")"),0)</f>
        <v>0</v>
      </c>
      <c r="N166" s="46">
        <f ca="1">IFERROR(__xludf.DUMMYFUNCTION("IMPORTRANGE(""https://docs.google.com/spreadsheets/d/1-uDff_7J0KD5mKrp0Vvzr7lt3OU09vwQwhkpOPPYv2Y/edit?usp=sharing"",""งบพรบ!CI85"")"),0)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IFERROR(__xludf.DUMMYFUNCTION("IMPORTRANGE(""https://docs.google.com/spreadsheets/d/1eHaY18a8A9IcSdp1K8H6x8fbOy06t2VsZHhMHf-1x7Y/edit?usp=sharing"",""แผน!Z85"")"),0)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IFERROR(__xludf.DUMMYFUNCTION("IMPORTRANGE(""https://docs.google.com/spreadsheets/d/1eHaY18a8A9IcSdp1K8H6x8fbOy06t2VsZHhMHf-1x7Y/edit?usp=sharing"",""แผน!Z85"")"),0)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IFERROR(__xludf.DUMMYFUNCTION("IMPORTRANGE(""https://docs.google.com/spreadsheets/d/1eHaY18a8A9IcSdp1K8H6x8fbOy06t2VsZHhMHf-1x7Y/edit?usp=sharing"",""แผน!Z85"")"),0)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7</v>
      </c>
      <c r="J173" s="221">
        <f t="shared" si="116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19590</v>
      </c>
      <c r="M174" s="132">
        <f t="shared" ca="1" si="117"/>
        <v>35150</v>
      </c>
      <c r="N174" s="132">
        <f t="shared" ca="1" si="117"/>
        <v>34641</v>
      </c>
      <c r="O174" s="132">
        <f t="shared" ref="O174:O182" ca="1" si="118">IF(L174&gt;0,N174*100/L174,0)</f>
        <v>176.83001531393569</v>
      </c>
      <c r="P174" s="132">
        <f t="shared" ref="P174:P182" ca="1" si="119">IF(M174&gt;0,N174*100/M174,0)</f>
        <v>98.551920341394023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19590</v>
      </c>
      <c r="M176" s="46">
        <f t="shared" ca="1" si="123"/>
        <v>35150</v>
      </c>
      <c r="N176" s="46">
        <f t="shared" ca="1" si="123"/>
        <v>34641</v>
      </c>
      <c r="O176" s="46">
        <f t="shared" ca="1" si="118"/>
        <v>176.83001531393569</v>
      </c>
      <c r="P176" s="46">
        <f t="shared" ca="1" si="119"/>
        <v>98.551920341394023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19590</v>
      </c>
      <c r="M177" s="46">
        <f t="shared" ca="1" si="125"/>
        <v>35150</v>
      </c>
      <c r="N177" s="46">
        <f t="shared" ca="1" si="125"/>
        <v>34641</v>
      </c>
      <c r="O177" s="46">
        <f t="shared" ca="1" si="118"/>
        <v>176.83001531393569</v>
      </c>
      <c r="P177" s="46">
        <f t="shared" ca="1" si="119"/>
        <v>98.551920341394023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IFERROR(__xludf.DUMMYFUNCTION("IMPORTRANGE(""https://docs.google.com/spreadsheets/d/1-uDff_7J0KD5mKrp0Vvzr7lt3OU09vwQwhkpOPPYv2Y/edit?usp=sharing"",""งบพรบ!CK85"")"),19590)</f>
        <v>19590</v>
      </c>
      <c r="M179" s="46">
        <f ca="1">IFERROR(__xludf.DUMMYFUNCTION("IMPORTRANGE(""https://docs.google.com/spreadsheets/d/1-uDff_7J0KD5mKrp0Vvzr7lt3OU09vwQwhkpOPPYv2Y/edit?usp=sharing"",""งบพรบ!CP85"")"),35150)</f>
        <v>35150</v>
      </c>
      <c r="N179" s="46">
        <f ca="1">IFERROR(__xludf.DUMMYFUNCTION("IMPORTRANGE(""https://docs.google.com/spreadsheets/d/1-uDff_7J0KD5mKrp0Vvzr7lt3OU09vwQwhkpOPPYv2Y/edit?usp=sharing"",""งบพรบ!CR85"")"),34641)</f>
        <v>34641</v>
      </c>
      <c r="O179" s="46">
        <f t="shared" ca="1" si="118"/>
        <v>176.83001531393569</v>
      </c>
      <c r="P179" s="46">
        <f t="shared" ca="1" si="119"/>
        <v>98.551920341394023</v>
      </c>
      <c r="Q179" s="46">
        <f ca="1">IFERROR(__xludf.DUMMYFUNCTION("IMPORTRANGE(""https://docs.google.com/spreadsheets/d/1ItG2mGa2ceCfYo0BwxsXqNm01IGEUdYcSSLTEv9YCik/edit?usp=sharing"",""เบิกจ่ายกองทุน!BE85"")"),0)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IFERROR(__xludf.DUMMYFUNCTION("IMPORTRANGE(""https://docs.google.com/spreadsheets/d/1ItG2mGa2ceCfYo0BwxsXqNm01IGEUdYcSSLTEv9YCik/edit?usp=sharing"",""เบิกจ่ายกองทุน!BF85"")"),0)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IFERROR(__xludf.DUMMYFUNCTION("IMPORTRANGE(""https://docs.google.com/spreadsheets/d/1ItG2mGa2ceCfYo0BwxsXqNm01IGEUdYcSSLTEv9YCik/edit?usp=sharing"",""เบิกจ่ายกองทุน!BG85"")"),0)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IFERROR(__xludf.DUMMYFUNCTION("IMPORTRANGE(""https://docs.google.com/spreadsheets/d/1-uDff_7J0KD5mKrp0Vvzr7lt3OU09vwQwhkpOPPYv2Y/edit?usp=sharing"",""งบพรบ!CN85"")"),0)</f>
        <v>0</v>
      </c>
      <c r="M182" s="46">
        <f ca="1">IFERROR(__xludf.DUMMYFUNCTION("IMPORTRANGE(""https://docs.google.com/spreadsheets/d/1-uDff_7J0KD5mKrp0Vvzr7lt3OU09vwQwhkpOPPYv2Y/edit?usp=sharing"",""งบพรบ!CQ85"")"),0)</f>
        <v>0</v>
      </c>
      <c r="N182" s="46">
        <f ca="1">IFERROR(__xludf.DUMMYFUNCTION("IMPORTRANGE(""https://docs.google.com/spreadsheets/d/1-uDff_7J0KD5mKrp0Vvzr7lt3OU09vwQwhkpOPPYv2Y/edit?usp=sharing"",""งบพรบ!CS85"")"),0)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IFERROR(__xludf.DUMMYFUNCTION("IMPORTRANGE(""https://docs.google.com/spreadsheets/d/1eHaY18a8A9IcSdp1K8H6x8fbOy06t2VsZHhMHf-1x7Y/edit?usp=sharing"",""แผน!AA85"")"),7)</f>
        <v>7</v>
      </c>
      <c r="J184" s="168">
        <v>7</v>
      </c>
      <c r="K184" s="46">
        <f t="shared" ref="K184:K186" ca="1" si="129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0</v>
      </c>
      <c r="J186" s="221">
        <f t="shared" si="130"/>
        <v>0</v>
      </c>
      <c r="K186" s="222">
        <f t="shared" ca="1" si="129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270600</v>
      </c>
      <c r="M187" s="132">
        <f t="shared" ca="1" si="131"/>
        <v>262600</v>
      </c>
      <c r="N187" s="132">
        <f t="shared" ca="1" si="131"/>
        <v>142087.20000000001</v>
      </c>
      <c r="O187" s="132">
        <f t="shared" ref="O187:O195" ca="1" si="132">IF(L187&gt;0,N187*100/L187,0)</f>
        <v>52.508203991130827</v>
      </c>
      <c r="P187" s="132">
        <f t="shared" ref="P187:P195" ca="1" si="133">IF(M187&gt;0,N187*100/M187,0)</f>
        <v>54.107844630616917</v>
      </c>
      <c r="Q187" s="132">
        <f t="shared" ref="Q187:S187" ca="1" si="134">Q188+Q189</f>
        <v>28000</v>
      </c>
      <c r="R187" s="132">
        <f t="shared" ca="1" si="134"/>
        <v>28000</v>
      </c>
      <c r="S187" s="132">
        <f t="shared" ca="1" si="134"/>
        <v>0</v>
      </c>
      <c r="T187" s="132">
        <f t="shared" ref="T187:T195" ca="1" si="135">IF(Q187&gt;0,S187*100/Q187,0)</f>
        <v>0</v>
      </c>
      <c r="U187" s="132">
        <f t="shared" ref="U187:U195" ca="1" si="136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270600</v>
      </c>
      <c r="M189" s="46">
        <f t="shared" ca="1" si="137"/>
        <v>262600</v>
      </c>
      <c r="N189" s="46">
        <f t="shared" ca="1" si="137"/>
        <v>142087.20000000001</v>
      </c>
      <c r="O189" s="46">
        <f t="shared" ca="1" si="132"/>
        <v>52.508203991130827</v>
      </c>
      <c r="P189" s="46">
        <f t="shared" ca="1" si="133"/>
        <v>54.107844630616917</v>
      </c>
      <c r="Q189" s="46">
        <f t="shared" ca="1" si="138"/>
        <v>28000</v>
      </c>
      <c r="R189" s="46">
        <f t="shared" ca="1" si="138"/>
        <v>28000</v>
      </c>
      <c r="S189" s="46">
        <f t="shared" ca="1" si="138"/>
        <v>0</v>
      </c>
      <c r="T189" s="46">
        <f t="shared" ca="1" si="135"/>
        <v>0</v>
      </c>
      <c r="U189" s="46">
        <f t="shared" ca="1" si="136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270600</v>
      </c>
      <c r="M190" s="46">
        <f t="shared" ca="1" si="139"/>
        <v>262600</v>
      </c>
      <c r="N190" s="46">
        <f t="shared" ca="1" si="139"/>
        <v>142087.20000000001</v>
      </c>
      <c r="O190" s="46">
        <f t="shared" ca="1" si="132"/>
        <v>52.508203991130827</v>
      </c>
      <c r="P190" s="46">
        <f t="shared" ca="1" si="133"/>
        <v>54.107844630616917</v>
      </c>
      <c r="Q190" s="46">
        <f t="shared" ref="Q190:S190" ca="1" si="140">Q191+Q192</f>
        <v>28000</v>
      </c>
      <c r="R190" s="46">
        <f t="shared" ca="1" si="140"/>
        <v>28000</v>
      </c>
      <c r="S190" s="46">
        <f t="shared" ca="1" si="140"/>
        <v>0</v>
      </c>
      <c r="T190" s="46">
        <f t="shared" ca="1" si="135"/>
        <v>0</v>
      </c>
      <c r="U190" s="46">
        <f t="shared" ca="1" si="136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IFERROR(__xludf.DUMMYFUNCTION("IMPORTRANGE(""https://docs.google.com/spreadsheets/d/1-uDff_7J0KD5mKrp0Vvzr7lt3OU09vwQwhkpOPPYv2Y/edit?usp=sharing"",""งบพรบ!CU85"")"),270600)</f>
        <v>270600</v>
      </c>
      <c r="M192" s="46">
        <f ca="1">IFERROR(__xludf.DUMMYFUNCTION("IMPORTRANGE(""https://docs.google.com/spreadsheets/d/1-uDff_7J0KD5mKrp0Vvzr7lt3OU09vwQwhkpOPPYv2Y/edit?usp=sharing"",""งบพรบ!CZ85"")"),262600)</f>
        <v>262600</v>
      </c>
      <c r="N192" s="46">
        <f ca="1">IFERROR(__xludf.DUMMYFUNCTION("IMPORTRANGE(""https://docs.google.com/spreadsheets/d/1-uDff_7J0KD5mKrp0Vvzr7lt3OU09vwQwhkpOPPYv2Y/edit?usp=sharing"",""งบพรบ!DB85"")"),142087.2)</f>
        <v>142087.20000000001</v>
      </c>
      <c r="O192" s="46">
        <f t="shared" ca="1" si="132"/>
        <v>52.508203991130827</v>
      </c>
      <c r="P192" s="46">
        <f t="shared" ca="1" si="133"/>
        <v>54.107844630616917</v>
      </c>
      <c r="Q192" s="46">
        <f ca="1">IFERROR(__xludf.DUMMYFUNCTION("IMPORTRANGE(""https://docs.google.com/spreadsheets/d/1ItG2mGa2ceCfYo0BwxsXqNm01IGEUdYcSSLTEv9YCik/edit?usp=sharing"",""เบิกจ่ายกองทุน!AV85"")"),28000)</f>
        <v>28000</v>
      </c>
      <c r="R192" s="46">
        <f ca="1">IFERROR(__xludf.DUMMYFUNCTION("IMPORTRANGE(""https://docs.google.com/spreadsheets/d/1ItG2mGa2ceCfYo0BwxsXqNm01IGEUdYcSSLTEv9YCik/edit?usp=sharing"",""เบิกจ่ายกองทุน!AW85"")"),28000)</f>
        <v>28000</v>
      </c>
      <c r="S192" s="46">
        <f ca="1">IFERROR(__xludf.DUMMYFUNCTION("IMPORTRANGE(""https://docs.google.com/spreadsheets/d/1ItG2mGa2ceCfYo0BwxsXqNm01IGEUdYcSSLTEv9YCik/edit?usp=sharing"",""เบิกจ่ายกองทุน!AX85"")"),0)</f>
        <v>0</v>
      </c>
      <c r="T192" s="46">
        <f t="shared" ca="1" si="135"/>
        <v>0</v>
      </c>
      <c r="U192" s="46">
        <f t="shared" ca="1" si="136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IFERROR(__xludf.DUMMYFUNCTION("IMPORTRANGE(""https://docs.google.com/spreadsheets/d/1-uDff_7J0KD5mKrp0Vvzr7lt3OU09vwQwhkpOPPYv2Y/edit?usp=sharing"",""งบพรบ!CX85"")"),0)</f>
        <v>0</v>
      </c>
      <c r="M195" s="46">
        <f ca="1">IFERROR(__xludf.DUMMYFUNCTION("IMPORTRANGE(""https://docs.google.com/spreadsheets/d/1-uDff_7J0KD5mKrp0Vvzr7lt3OU09vwQwhkpOPPYv2Y/edit?usp=sharing"",""งบพรบ!DA85"")"),0)</f>
        <v>0</v>
      </c>
      <c r="N195" s="46">
        <f ca="1">IFERROR(__xludf.DUMMYFUNCTION("IMPORTRANGE(""https://docs.google.com/spreadsheets/d/1-uDff_7J0KD5mKrp0Vvzr7lt3OU09vwQwhkpOPPYv2Y/edit?usp=sharing"",""งบพรบ!DC85"")"),0)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1</v>
      </c>
      <c r="K196" s="236">
        <f ca="1">IF(I196&gt;0,J196*100/I196,0)</f>
        <v>25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IFERROR(__xludf.DUMMYFUNCTION("IMPORTRANGE(""https://docs.google.com/spreadsheets/d/1eHaY18a8A9IcSdp1K8H6x8fbOy06t2VsZHhMHf-1x7Y/edit?usp=sharing"",""แผน!AB85"")"),6000)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IFERROR(__xludf.DUMMYFUNCTION("IMPORTRANGE(""https://docs.google.com/spreadsheets/d/1eHaY18a8A9IcSdp1K8H6x8fbOy06t2VsZHhMHf-1x7Y/edit?usp=sharing"",""แผน!AE85"")"),4)</f>
        <v>4</v>
      </c>
      <c r="J199" s="168">
        <v>1</v>
      </c>
      <c r="K199" s="46">
        <f ca="1">IF(I199&gt;0,J199*100/I199,0)</f>
        <v>25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0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0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2</v>
      </c>
      <c r="J203" s="235">
        <f t="shared" si="144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IFERROR(__xludf.DUMMYFUNCTION("IMPORTRANGE(""https://docs.google.com/spreadsheets/d/1eHaY18a8A9IcSdp1K8H6x8fbOy06t2VsZHhMHf-1x7Y/edit?usp=sharing"",""แผน!AG85"")"),1000)</f>
        <v>1000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IFERROR(__xludf.DUMMYFUNCTION("IMPORTRANGE(""https://docs.google.com/spreadsheets/d/1eHaY18a8A9IcSdp1K8H6x8fbOy06t2VsZHhMHf-1x7Y/edit?usp=sharing"",""แผน!AH85"")"),0)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IFERROR(__xludf.DUMMYFUNCTION("IMPORTRANGE(""https://docs.google.com/spreadsheets/d/1eHaY18a8A9IcSdp1K8H6x8fbOy06t2VsZHhMHf-1x7Y/edit?usp=sharing"",""แผน!AI85"")"),0)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IFERROR(__xludf.DUMMYFUNCTION("IMPORTRANGE(""https://docs.google.com/spreadsheets/d/1eHaY18a8A9IcSdp1K8H6x8fbOy06t2VsZHhMHf-1x7Y/edit?usp=sharing"",""แผน!AJ85"")"),4000)</f>
        <v>4000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IFERROR(__xludf.DUMMYFUNCTION("IMPORTRANGE(""https://docs.google.com/spreadsheets/d/1eHaY18a8A9IcSdp1K8H6x8fbOy06t2VsZHhMHf-1x7Y/edit?usp=sharing"",""แผน!AK85"")"),2)</f>
        <v>2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IFERROR(__xludf.DUMMYFUNCTION("IMPORTRANGE(""https://docs.google.com/spreadsheets/d/1eHaY18a8A9IcSdp1K8H6x8fbOy06t2VsZHhMHf-1x7Y/edit?usp=sharing"",""แผน!JX85"")"),1)</f>
        <v>1</v>
      </c>
      <c r="J212" s="168">
        <v>0</v>
      </c>
      <c r="K212" s="153">
        <f t="shared" ref="K212:K214" ca="1" si="145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IFERROR(__xludf.DUMMYFUNCTION("IMPORTRANGE(""https://docs.google.com/spreadsheets/d/1eHaY18a8A9IcSdp1K8H6x8fbOy06t2VsZHhMHf-1x7Y/edit?usp=sharing"",""แผน!JY85"")"),0)</f>
        <v>0</v>
      </c>
      <c r="J213" s="168">
        <v>0</v>
      </c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0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IFERROR(__xludf.DUMMYFUNCTION("IMPORTRANGE(""https://docs.google.com/spreadsheets/d/1eHaY18a8A9IcSdp1K8H6x8fbOy06t2VsZHhMHf-1x7Y/edit?usp=sharing"",""แผน!AM85"")"),0)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IFERROR(__xludf.DUMMYFUNCTION("IMPORTRANGE(""https://docs.google.com/spreadsheets/d/1eHaY18a8A9IcSdp1K8H6x8fbOy06t2VsZHhMHf-1x7Y/edit?usp=sharing"",""แผน!AN85"")"),0)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IFERROR(__xludf.DUMMYFUNCTION("IMPORTRANGE(""https://docs.google.com/spreadsheets/d/1eHaY18a8A9IcSdp1K8H6x8fbOy06t2VsZHhMHf-1x7Y/edit?usp=sharing"",""แผน!AO85"")"),0)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IFERROR(__xludf.DUMMYFUNCTION("IMPORTRANGE(""https://docs.google.com/spreadsheets/d/1eHaY18a8A9IcSdp1K8H6x8fbOy06t2VsZHhMHf-1x7Y/edit?usp=sharing"",""แผน!AP85"")"),0)</f>
        <v>0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12800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IFERROR(__xludf.DUMMYFUNCTION("IMPORTRANGE(""https://docs.google.com/spreadsheets/d/1eHaY18a8A9IcSdp1K8H6x8fbOy06t2VsZHhMHf-1x7Y/edit?usp=sharing"",""แผน!AR85"")"),2500)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IFERROR(__xludf.DUMMYFUNCTION("IMPORTRANGE(""https://docs.google.com/spreadsheets/d/1eHaY18a8A9IcSdp1K8H6x8fbOy06t2VsZHhMHf-1x7Y/edit?usp=sharing"",""แผน!AS85"")"),2000)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IFERROR(__xludf.DUMMYFUNCTION("IMPORTRANGE(""https://docs.google.com/spreadsheets/d/1eHaY18a8A9IcSdp1K8H6x8fbOy06t2VsZHhMHf-1x7Y/edit?usp=sharing"",""แผน!AT85"")"),0)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IFERROR(__xludf.DUMMYFUNCTION("IMPORTRANGE(""https://docs.google.com/spreadsheets/d/1eHaY18a8A9IcSdp1K8H6x8fbOy06t2VsZHhMHf-1x7Y/edit?usp=sharing"",""แผน!AV85"")"),12800)</f>
        <v>12800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IFERROR(__xludf.DUMMYFUNCTION("IMPORTRANGE(""https://docs.google.com/spreadsheets/d/1eHaY18a8A9IcSdp1K8H6x8fbOy06t2VsZHhMHf-1x7Y/edit?usp=sharing"",""แผน!AU85"")"),0)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0</v>
      </c>
      <c r="J232" s="573">
        <f t="shared" si="150"/>
        <v>0</v>
      </c>
      <c r="K232" s="574">
        <f t="shared" ca="1" si="149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0</v>
      </c>
      <c r="M233" s="45"/>
      <c r="N233" s="583">
        <f t="shared" ref="N233:N237" si="152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0</v>
      </c>
      <c r="M234" s="45"/>
      <c r="N234" s="48">
        <f t="shared" si="152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0</v>
      </c>
      <c r="M235" s="45"/>
      <c r="N235" s="48">
        <f t="shared" si="152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0</v>
      </c>
      <c r="M236" s="45"/>
      <c r="N236" s="48">
        <f t="shared" si="152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0</v>
      </c>
      <c r="J239" s="340">
        <f t="shared" si="153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4">I252+I263</f>
        <v>0</v>
      </c>
      <c r="J241" s="340">
        <f t="shared" si="154"/>
        <v>0</v>
      </c>
      <c r="K241" s="48">
        <f t="shared" ref="K241:K243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4"/>
        <v>0</v>
      </c>
      <c r="J242" s="340">
        <f t="shared" si="154"/>
        <v>0</v>
      </c>
      <c r="K242" s="48">
        <f t="shared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6">I250</f>
        <v>0</v>
      </c>
      <c r="J243" s="573">
        <f t="shared" si="156"/>
        <v>0</v>
      </c>
      <c r="K243" s="574">
        <f t="shared" ca="1" si="155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IFERROR(__xludf.DUMMYFUNCTION("IMPORTRANGE(""https://docs.google.com/spreadsheets/d/1eHaY18a8A9IcSdp1K8H6x8fbOy06t2VsZHhMHf-1x7Y/edit?usp=sharing"",""แผน!AX85"")"),0)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IFERROR(__xludf.DUMMYFUNCTION("IMPORTRANGE(""https://docs.google.com/spreadsheets/d/1eHaY18a8A9IcSdp1K8H6x8fbOy06t2VsZHhMHf-1x7Y/edit?usp=sharing"",""แผน!AY85"")"),0)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IFERROR(__xludf.DUMMYFUNCTION("IMPORTRANGE(""https://docs.google.com/spreadsheets/d/1eHaY18a8A9IcSdp1K8H6x8fbOy06t2VsZHhMHf-1x7Y/edit?usp=sharing"",""แผน!AZ85"")"),0)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IFERROR(__xludf.DUMMYFUNCTION("IMPORTRANGE(""https://docs.google.com/spreadsheets/d/1eHaY18a8A9IcSdp1K8H6x8fbOy06t2VsZHhMHf-1x7Y/edit?usp=sharing"",""แผน!BA85"")"),0)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IFERROR(__xludf.DUMMYFUNCTION("IMPORTRANGE(""https://docs.google.com/spreadsheets/d/1eHaY18a8A9IcSdp1K8H6x8fbOy06t2VsZHhMHf-1x7Y/edit?usp=sharing"",""แผน!BG85"")"),0)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IFERROR(__xludf.DUMMYFUNCTION("IMPORTRANGE(""https://docs.google.com/spreadsheets/d/1eHaY18a8A9IcSdp1K8H6x8fbOy06t2VsZHhMHf-1x7Y/edit?usp=sharing"",""แผน!BB85"")"),0)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IFERROR(__xludf.DUMMYFUNCTION("IMPORTRANGE(""https://docs.google.com/spreadsheets/d/1eHaY18a8A9IcSdp1K8H6x8fbOy06t2VsZHhMHf-1x7Y/edit?usp=sharing"",""แผน!BC85"")"),0)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IFERROR(__xludf.DUMMYFUNCTION("IMPORTRANGE(""https://docs.google.com/spreadsheets/d/1eHaY18a8A9IcSdp1K8H6x8fbOy06t2VsZHhMHf-1x7Y/edit?usp=sharing"",""แผน!BD85"")"),0)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IFERROR(__xludf.DUMMYFUNCTION("IMPORTRANGE(""https://docs.google.com/spreadsheets/d/1eHaY18a8A9IcSdp1K8H6x8fbOy06t2VsZHhMHf-1x7Y/edit?usp=sharing"",""แผน!BE85"")"),0)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IFERROR(__xludf.DUMMYFUNCTION("IMPORTRANGE(""https://docs.google.com/spreadsheets/d/1eHaY18a8A9IcSdp1K8H6x8fbOy06t2VsZHhMHf-1x7Y/edit?usp=sharing"",""แผน!BH85"")"),0)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22</v>
      </c>
      <c r="J266" s="613">
        <f t="shared" si="160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50660</v>
      </c>
      <c r="R267" s="626">
        <f t="shared" ca="1" si="164"/>
        <v>50660</v>
      </c>
      <c r="S267" s="626">
        <f t="shared" ca="1" si="164"/>
        <v>0</v>
      </c>
      <c r="T267" s="626">
        <f t="shared" ref="T267:T275" ca="1" si="165">IF(Q267&gt;0,S267*100/Q267,0)</f>
        <v>0</v>
      </c>
      <c r="U267" s="626">
        <f t="shared" ref="U267:U275" ca="1" si="166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50660</v>
      </c>
      <c r="R269" s="630">
        <f t="shared" ca="1" si="168"/>
        <v>50660</v>
      </c>
      <c r="S269" s="630">
        <f t="shared" ca="1" si="168"/>
        <v>0</v>
      </c>
      <c r="T269" s="630">
        <f t="shared" ca="1" si="165"/>
        <v>0</v>
      </c>
      <c r="U269" s="630">
        <f t="shared" ca="1" si="166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50660</v>
      </c>
      <c r="R270" s="630">
        <f t="shared" ca="1" si="170"/>
        <v>50660</v>
      </c>
      <c r="S270" s="630">
        <f t="shared" ca="1" si="170"/>
        <v>0</v>
      </c>
      <c r="T270" s="630">
        <f t="shared" ca="1" si="165"/>
        <v>0</v>
      </c>
      <c r="U270" s="630">
        <f t="shared" ca="1" si="166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IFERROR(__xludf.DUMMYFUNCTION("IMPORTRANGE(""https://docs.google.com/spreadsheets/d/1-uDff_7J0KD5mKrp0Vvzr7lt3OU09vwQwhkpOPPYv2Y/edit?usp=sharing"",""งบพรบ!DE85"")"),0)</f>
        <v>0</v>
      </c>
      <c r="M272" s="630">
        <f ca="1">IFERROR(__xludf.DUMMYFUNCTION("IMPORTRANGE(""https://docs.google.com/spreadsheets/d/1-uDff_7J0KD5mKrp0Vvzr7lt3OU09vwQwhkpOPPYv2Y/edit?usp=sharing"",""งบพรบ!DJ85"")"),5000)</f>
        <v>5000</v>
      </c>
      <c r="N272" s="630">
        <f ca="1">IFERROR(__xludf.DUMMYFUNCTION("IMPORTRANGE(""https://docs.google.com/spreadsheets/d/1-uDff_7J0KD5mKrp0Vvzr7lt3OU09vwQwhkpOPPYv2Y/edit?usp=sharing"",""งบพรบ!DL85"")"),0)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IFERROR(__xludf.DUMMYFUNCTION("IMPORTRANGE(""https://docs.google.com/spreadsheets/d/1ItG2mGa2ceCfYo0BwxsXqNm01IGEUdYcSSLTEv9YCik/edit?usp=sharing"",""เบิกจ่ายกองทุน!AJ85"")"),50660)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IFERROR(__xludf.DUMMYFUNCTION("IMPORTRANGE(""https://docs.google.com/spreadsheets/d/1ItG2mGa2ceCfYo0BwxsXqNm01IGEUdYcSSLTEv9YCik/edit?usp=sharing"",""เบิกจ่ายกองทุน!AK85"")"),50660)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IFERROR(__xludf.DUMMYFUNCTION("IMPORTRANGE(""https://docs.google.com/spreadsheets/d/1ItG2mGa2ceCfYo0BwxsXqNm01IGEUdYcSSLTEv9YCik/edit?usp=sharing"",""เบิกจ่ายกองทุน!AL85"")"),0)</f>
        <v>0</v>
      </c>
      <c r="T272" s="630">
        <f t="shared" ca="1" si="165"/>
        <v>0</v>
      </c>
      <c r="U272" s="630">
        <f t="shared" ca="1" si="166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IFERROR(__xludf.DUMMYFUNCTION("IMPORTRANGE(""https://docs.google.com/spreadsheets/d/1-uDff_7J0KD5mKrp0Vvzr7lt3OU09vwQwhkpOPPYv2Y/edit?usp=sharing"",""งบพรบ!DH85"")"),0)</f>
        <v>0</v>
      </c>
      <c r="M275" s="630">
        <f ca="1">IFERROR(__xludf.DUMMYFUNCTION("IMPORTRANGE(""https://docs.google.com/spreadsheets/d/1-uDff_7J0KD5mKrp0Vvzr7lt3OU09vwQwhkpOPPYv2Y/edit?usp=sharing"",""งบพรบ!DK85"")"),0)</f>
        <v>0</v>
      </c>
      <c r="N275" s="630">
        <f ca="1">IFERROR(__xludf.DUMMYFUNCTION("IMPORTRANGE(""https://docs.google.com/spreadsheets/d/1-uDff_7J0KD5mKrp0Vvzr7lt3OU09vwQwhkpOPPYv2Y/edit?usp=sharing"",""งบพรบ!DM85"")"),0)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IFERROR(__xludf.DUMMYFUNCTION("IMPORTRANGE(""https://docs.google.com/spreadsheets/d/1eHaY18a8A9IcSdp1K8H6x8fbOy06t2VsZHhMHf-1x7Y/edit?usp=sharing"",""แผน!EC85"")"),22)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IFERROR(__xludf.DUMMYFUNCTION("IMPORTRANGE(""https://docs.google.com/spreadsheets/d/1-uDff_7J0KD5mKrp0Vvzr7lt3OU09vwQwhkpOPPYv2Y/edit?usp=sharing"",""งบพรบ!DO85"")"),0)</f>
        <v>0</v>
      </c>
      <c r="M288" s="46">
        <f ca="1">IFERROR(__xludf.DUMMYFUNCTION("IMPORTRANGE(""https://docs.google.com/spreadsheets/d/1-uDff_7J0KD5mKrp0Vvzr7lt3OU09vwQwhkpOPPYv2Y/edit?usp=sharing"",""งบพรบ!DT85"")"),0)</f>
        <v>0</v>
      </c>
      <c r="N288" s="46">
        <f ca="1">IFERROR(__xludf.DUMMYFUNCTION("IMPORTRANGE(""https://docs.google.com/spreadsheets/d/1-uDff_7J0KD5mKrp0Vvzr7lt3OU09vwQwhkpOPPYv2Y/edit?usp=sharing"",""งบพรบ!DV85"")"),0)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IFERROR(__xludf.DUMMYFUNCTION("IMPORTRANGE(""https://docs.google.com/spreadsheets/d/1-uDff_7J0KD5mKrp0Vvzr7lt3OU09vwQwhkpOPPYv2Y/edit?usp=sharing"",""งบพรบ!DR85"")"),0)</f>
        <v>0</v>
      </c>
      <c r="M291" s="46">
        <f ca="1">IFERROR(__xludf.DUMMYFUNCTION("IMPORTRANGE(""https://docs.google.com/spreadsheets/d/1-uDff_7J0KD5mKrp0Vvzr7lt3OU09vwQwhkpOPPYv2Y/edit?usp=sharing"",""งบพรบ!DU85"")"),0)</f>
        <v>0</v>
      </c>
      <c r="N291" s="46">
        <f ca="1">IFERROR(__xludf.DUMMYFUNCTION("IMPORTRANGE(""https://docs.google.com/spreadsheets/d/1-uDff_7J0KD5mKrp0Vvzr7lt3OU09vwQwhkpOPPYv2Y/edit?usp=sharing"",""งบพรบ!DW85"")"),0)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IFERROR(__xludf.DUMMYFUNCTION("IMPORTRANGE(""https://docs.google.com/spreadsheets/d/1eHaY18a8A9IcSdp1K8H6x8fbOy06t2VsZHhMHf-1x7Y/edit?usp=sharing"",""แผน!EE85"")"),0)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IFERROR(__xludf.DUMMYFUNCTION("IMPORTRANGE(""https://docs.google.com/spreadsheets/d/1eHaY18a8A9IcSdp1K8H6x8fbOy06t2VsZHhMHf-1x7Y/edit?usp=sharing"",""แผน!ED85"")"),0)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IFERROR(__xludf.DUMMYFUNCTION("IMPORTRANGE(""https://docs.google.com/spreadsheets/d/1eHaY18a8A9IcSdp1K8H6x8fbOy06t2VsZHhMHf-1x7Y/edit?usp=sharing"",""แผน!ED85"")"),0)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hidden="1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hidden="1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hidden="1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0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hidden="1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0</v>
      </c>
      <c r="R304" s="132">
        <f t="shared" ca="1" si="194"/>
        <v>0</v>
      </c>
      <c r="S304" s="132">
        <f t="shared" ca="1" si="194"/>
        <v>0</v>
      </c>
      <c r="T304" s="132">
        <f t="shared" ref="T304:T312" ca="1" si="195">IF(Q304&gt;0,S304*100/Q304,0)</f>
        <v>0</v>
      </c>
      <c r="U304" s="132">
        <f t="shared" ref="U304:U312" ca="1" si="196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0</v>
      </c>
      <c r="R306" s="46">
        <f t="shared" ca="1" si="198"/>
        <v>0</v>
      </c>
      <c r="S306" s="46">
        <f t="shared" ca="1" si="198"/>
        <v>0</v>
      </c>
      <c r="T306" s="46">
        <f t="shared" ca="1" si="195"/>
        <v>0</v>
      </c>
      <c r="U306" s="46">
        <f t="shared" ca="1" si="196"/>
        <v>0</v>
      </c>
    </row>
    <row r="307" spans="1:21" ht="18.75" hidden="1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0</v>
      </c>
      <c r="R307" s="46">
        <f t="shared" ca="1" si="200"/>
        <v>0</v>
      </c>
      <c r="S307" s="46">
        <f t="shared" ca="1" si="200"/>
        <v>0</v>
      </c>
      <c r="T307" s="46">
        <f t="shared" ca="1" si="195"/>
        <v>0</v>
      </c>
      <c r="U307" s="46">
        <f t="shared" ca="1" si="196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IFERROR(__xludf.DUMMYFUNCTION("IMPORTRANGE(""https://docs.google.com/spreadsheets/d/1-uDff_7J0KD5mKrp0Vvzr7lt3OU09vwQwhkpOPPYv2Y/edit?usp=sharing"",""งบพรบ!DY85"")"),0)</f>
        <v>0</v>
      </c>
      <c r="M309" s="46">
        <f ca="1">IFERROR(__xludf.DUMMYFUNCTION("IMPORTRANGE(""https://docs.google.com/spreadsheets/d/1-uDff_7J0KD5mKrp0Vvzr7lt3OU09vwQwhkpOPPYv2Y/edit?usp=sharing"",""งบพรบ!ED85"")"),0)</f>
        <v>0</v>
      </c>
      <c r="N309" s="46">
        <f ca="1">IFERROR(__xludf.DUMMYFUNCTION("IMPORTRANGE(""https://docs.google.com/spreadsheets/d/1-uDff_7J0KD5mKrp0Vvzr7lt3OU09vwQwhkpOPPYv2Y/edit?usp=sharing"",""งบพรบ!EF85"")"),0)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IFERROR(__xludf.DUMMYFUNCTION("IMPORTRANGE(""https://docs.google.com/spreadsheets/d/1ItG2mGa2ceCfYo0BwxsXqNm01IGEUdYcSSLTEv9YCik/edit?usp=sharing"",""เบิกจ่ายกองทุน!AP85"")"),0)</f>
        <v>0</v>
      </c>
      <c r="R309" s="46">
        <f ca="1">IFERROR(__xludf.DUMMYFUNCTION("IMPORTRANGE(""https://docs.google.com/spreadsheets/d/1ItG2mGa2ceCfYo0BwxsXqNm01IGEUdYcSSLTEv9YCik/edit?usp=sharing"",""เบิกจ่ายกองทุน!AQ85"")"),0)</f>
        <v>0</v>
      </c>
      <c r="S309" s="46">
        <f ca="1">IFERROR(__xludf.DUMMYFUNCTION("IMPORTRANGE(""https://docs.google.com/spreadsheets/d/1ItG2mGa2ceCfYo0BwxsXqNm01IGEUdYcSSLTEv9YCik/edit?usp=sharing"",""เบิกจ่ายกองทุน!AR85"")"),0)</f>
        <v>0</v>
      </c>
      <c r="T309" s="46">
        <f t="shared" ca="1" si="195"/>
        <v>0</v>
      </c>
      <c r="U309" s="46">
        <f t="shared" ca="1" si="196"/>
        <v>0</v>
      </c>
    </row>
    <row r="310" spans="1:21" ht="18.75" hidden="1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IFERROR(__xludf.DUMMYFUNCTION("IMPORTRANGE(""https://docs.google.com/spreadsheets/d/1-uDff_7J0KD5mKrp0Vvzr7lt3OU09vwQwhkpOPPYv2Y/edit?usp=sharing"",""งบพรบ!EB85"")"),0)</f>
        <v>0</v>
      </c>
      <c r="M312" s="46">
        <f ca="1">IFERROR(__xludf.DUMMYFUNCTION("IMPORTRANGE(""https://docs.google.com/spreadsheets/d/1-uDff_7J0KD5mKrp0Vvzr7lt3OU09vwQwhkpOPPYv2Y/edit?usp=sharing"",""งบพรบ!EE85"")"),0)</f>
        <v>0</v>
      </c>
      <c r="N312" s="46">
        <f ca="1">IFERROR(__xludf.DUMMYFUNCTION("IMPORTRANGE(""https://docs.google.com/spreadsheets/d/1-uDff_7J0KD5mKrp0Vvzr7lt3OU09vwQwhkpOPPYv2Y/edit?usp=sharing"",""งบพรบ!EG85"")"),0)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hidden="1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hidden="1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IFERROR(__xludf.DUMMYFUNCTION("IMPORTRANGE(""https://docs.google.com/spreadsheets/d/1eHaY18a8A9IcSdp1K8H6x8fbOy06t2VsZHhMHf-1x7Y/edit?usp=sharing"",""แผน!EF85"")"),0)</f>
        <v>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0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0</v>
      </c>
      <c r="M321" s="132">
        <f t="shared" ca="1" si="204"/>
        <v>0</v>
      </c>
      <c r="N321" s="132">
        <f t="shared" ca="1" si="204"/>
        <v>0</v>
      </c>
      <c r="O321" s="132">
        <f t="shared" ref="O321:O329" ca="1" si="205">IF(L321&gt;0,N321*100/L321,0)</f>
        <v>0</v>
      </c>
      <c r="P321" s="132">
        <f t="shared" ref="P321:P329" ca="1" si="206">IF(M321&gt;0,N321*100/M321,0)</f>
        <v>0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0</v>
      </c>
      <c r="M323" s="46">
        <f t="shared" ca="1" si="210"/>
        <v>0</v>
      </c>
      <c r="N323" s="46">
        <f t="shared" ca="1" si="210"/>
        <v>0</v>
      </c>
      <c r="O323" s="46">
        <f t="shared" ca="1" si="205"/>
        <v>0</v>
      </c>
      <c r="P323" s="46">
        <f t="shared" ca="1" si="206"/>
        <v>0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0</v>
      </c>
      <c r="M324" s="46">
        <f t="shared" ca="1" si="212"/>
        <v>0</v>
      </c>
      <c r="N324" s="46">
        <f t="shared" ca="1" si="212"/>
        <v>0</v>
      </c>
      <c r="O324" s="46">
        <f t="shared" ca="1" si="205"/>
        <v>0</v>
      </c>
      <c r="P324" s="46">
        <f t="shared" ca="1" si="206"/>
        <v>0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IFERROR(__xludf.DUMMYFUNCTION("IMPORTRANGE(""https://docs.google.com/spreadsheets/d/1-uDff_7J0KD5mKrp0Vvzr7lt3OU09vwQwhkpOPPYv2Y/edit?usp=sharing"",""งบพรบ!EI85"")"),0)</f>
        <v>0</v>
      </c>
      <c r="M326" s="46">
        <f ca="1">IFERROR(__xludf.DUMMYFUNCTION("IMPORTRANGE(""https://docs.google.com/spreadsheets/d/1-uDff_7J0KD5mKrp0Vvzr7lt3OU09vwQwhkpOPPYv2Y/edit?usp=sharing"",""งบพรบ!EN85"")"),0)</f>
        <v>0</v>
      </c>
      <c r="N326" s="46">
        <f ca="1">IFERROR(__xludf.DUMMYFUNCTION("IMPORTRANGE(""https://docs.google.com/spreadsheets/d/1-uDff_7J0KD5mKrp0Vvzr7lt3OU09vwQwhkpOPPYv2Y/edit?usp=sharing"",""งบพรบ!EP85"")"),0)</f>
        <v>0</v>
      </c>
      <c r="O326" s="46">
        <f t="shared" ca="1" si="205"/>
        <v>0</v>
      </c>
      <c r="P326" s="46">
        <f t="shared" ca="1" si="206"/>
        <v>0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IFERROR(__xludf.DUMMYFUNCTION("IMPORTRANGE(""https://docs.google.com/spreadsheets/d/1-uDff_7J0KD5mKrp0Vvzr7lt3OU09vwQwhkpOPPYv2Y/edit?usp=sharing"",""งบพรบ!EL85"")"),0)</f>
        <v>0</v>
      </c>
      <c r="M329" s="46">
        <f ca="1">IFERROR(__xludf.DUMMYFUNCTION("IMPORTRANGE(""https://docs.google.com/spreadsheets/d/1-uDff_7J0KD5mKrp0Vvzr7lt3OU09vwQwhkpOPPYv2Y/edit?usp=sharing"",""งบพรบ!EO85"")"),0)</f>
        <v>0</v>
      </c>
      <c r="N329" s="46">
        <f ca="1">IFERROR(__xludf.DUMMYFUNCTION("IMPORTRANGE(""https://docs.google.com/spreadsheets/d/1-uDff_7J0KD5mKrp0Vvzr7lt3OU09vwQwhkpOPPYv2Y/edit?usp=sharing"",""งบพรบ!EQ85"")"),0)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IFERROR(__xludf.DUMMYFUNCTION("IMPORTRANGE(""https://docs.google.com/spreadsheets/d/1eHaY18a8A9IcSdp1K8H6x8fbOy06t2VsZHhMHf-1x7Y/edit?usp=sharing"",""แผน!EJ85"")"),0)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340</v>
      </c>
      <c r="J333" s="665">
        <f ca="1">J345+J348+J349+J350+J354</f>
        <v>2083</v>
      </c>
      <c r="K333" s="666">
        <f ca="1">IF(I333&gt;0,J333*100/I333,0)</f>
        <v>612.64705882352939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101000</v>
      </c>
      <c r="M334" s="132">
        <f t="shared" ca="1" si="216"/>
        <v>106000</v>
      </c>
      <c r="N334" s="132">
        <f t="shared" ca="1" si="216"/>
        <v>143858.34</v>
      </c>
      <c r="O334" s="132">
        <f t="shared" ref="O334:O342" ca="1" si="217">IF(L334&gt;0,N334*100/L334,0)</f>
        <v>142.434</v>
      </c>
      <c r="P334" s="132">
        <f t="shared" ref="P334:P342" ca="1" si="218">IF(M334&gt;0,N334*100/M334,0)</f>
        <v>135.71541509433962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101000</v>
      </c>
      <c r="M336" s="46">
        <f t="shared" ca="1" si="222"/>
        <v>106000</v>
      </c>
      <c r="N336" s="46">
        <f t="shared" ca="1" si="222"/>
        <v>143858.34</v>
      </c>
      <c r="O336" s="46">
        <f t="shared" ca="1" si="217"/>
        <v>142.434</v>
      </c>
      <c r="P336" s="46">
        <f t="shared" ca="1" si="218"/>
        <v>135.71541509433962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101000</v>
      </c>
      <c r="M337" s="46">
        <f t="shared" ca="1" si="224"/>
        <v>106000</v>
      </c>
      <c r="N337" s="46">
        <f t="shared" ca="1" si="224"/>
        <v>143858.34</v>
      </c>
      <c r="O337" s="46">
        <f t="shared" ca="1" si="217"/>
        <v>142.434</v>
      </c>
      <c r="P337" s="46">
        <f t="shared" ca="1" si="218"/>
        <v>135.71541509433962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IFERROR(__xludf.DUMMYFUNCTION("IMPORTRANGE(""https://docs.google.com/spreadsheets/d/1-uDff_7J0KD5mKrp0Vvzr7lt3OU09vwQwhkpOPPYv2Y/edit?usp=sharing"",""งบพรบ!ES85"")"),101000)</f>
        <v>101000</v>
      </c>
      <c r="M339" s="46">
        <f ca="1">IFERROR(__xludf.DUMMYFUNCTION("IMPORTRANGE(""https://docs.google.com/spreadsheets/d/1-uDff_7J0KD5mKrp0Vvzr7lt3OU09vwQwhkpOPPYv2Y/edit?usp=sharing"",""งบพรบ!EX85"")"),106000)</f>
        <v>106000</v>
      </c>
      <c r="N339" s="46">
        <f ca="1">IFERROR(__xludf.DUMMYFUNCTION("IMPORTRANGE(""https://docs.google.com/spreadsheets/d/1-uDff_7J0KD5mKrp0Vvzr7lt3OU09vwQwhkpOPPYv2Y/edit?usp=sharing"",""งบพรบ!EZ85"")"),143858.34)</f>
        <v>143858.34</v>
      </c>
      <c r="O339" s="46">
        <f t="shared" ca="1" si="217"/>
        <v>142.434</v>
      </c>
      <c r="P339" s="46">
        <f t="shared" ca="1" si="218"/>
        <v>135.71541509433962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IFERROR(__xludf.DUMMYFUNCTION("IMPORTRANGE(""https://docs.google.com/spreadsheets/d/1-uDff_7J0KD5mKrp0Vvzr7lt3OU09vwQwhkpOPPYv2Y/edit?usp=sharing"",""งบพรบ!EV85"")"),0)</f>
        <v>0</v>
      </c>
      <c r="M342" s="46">
        <f ca="1">IFERROR(__xludf.DUMMYFUNCTION("IMPORTRANGE(""https://docs.google.com/spreadsheets/d/1-uDff_7J0KD5mKrp0Vvzr7lt3OU09vwQwhkpOPPYv2Y/edit?usp=sharing"",""งบพรบ!EY85"")"),0)</f>
        <v>0</v>
      </c>
      <c r="N342" s="46">
        <f ca="1">IFERROR(__xludf.DUMMYFUNCTION("IMPORTRANGE(""https://docs.google.com/spreadsheets/d/1-uDff_7J0KD5mKrp0Vvzr7lt3OU09vwQwhkpOPPYv2Y/edit?usp=sharing"",""งบพรบ!FA85"")"),0)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197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IFERROR(__xludf.DUMMYFUNCTION("IMPORTRANGE(""https://docs.google.com/spreadsheets/d/1eHaY18a8A9IcSdp1K8H6x8fbOy06t2VsZHhMHf-1x7Y/edit?usp=sharing"",""แผน!EK85"")"),340)</f>
        <v>340</v>
      </c>
      <c r="J345" s="152">
        <f ca="1">IFERROR(__xludf.DUMMYFUNCTION("IMPORTRANGE(""https://docs.google.com/spreadsheets/d/1awYsYK3VOup2i3Pq_Yjnu8DRu_mYwSBnCR2QPthd0rU/edit?usp=sharing"",""ศูนย์ยกเว้นโฉนด!D85"")"),78)</f>
        <v>78</v>
      </c>
      <c r="K345" s="46">
        <f ca="1">IF(I345&gt;0,J345*100/I345,0)</f>
        <v>22.941176470588236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IFERROR(__xludf.DUMMYFUNCTION("IMPORTRANGE(""https://docs.google.com/spreadsheets/d/1eHaY18a8A9IcSdp1K8H6x8fbOy06t2VsZHhMHf-1x7Y/edit?usp=sharing"",""แผน!EL85"")"),2)</f>
        <v>2</v>
      </c>
      <c r="J347" s="152">
        <f ca="1">IFERROR(__xludf.DUMMYFUNCTION("IMPORTRANGE(""https://docs.google.com/spreadsheets/d/1awYsYK3VOup2i3Pq_Yjnu8DRu_mYwSBnCR2QPthd0rU/edit?usp=sharing"",""ศูนย์รวม!E85"")"),1)</f>
        <v>1</v>
      </c>
      <c r="K347" s="46">
        <f ca="1">IF(I347&gt;0,J347*100/I347,0)</f>
        <v>50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2464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IFERROR(__xludf.DUMMYFUNCTION("IMPORTRANGE(""https://docs.google.com/spreadsheets/d/1awYsYK3VOup2i3Pq_Yjnu8DRu_mYwSBnCR2QPthd0rU/edit?usp=sharing"",""โฉนดM3!G85"")"),578)</f>
        <v>578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IFERROR(__xludf.DUMMYFUNCTION("IMPORTRANGE(""https://docs.google.com/spreadsheets/d/1awYsYK3VOup2i3Pq_Yjnu8DRu_mYwSBnCR2QPthd0rU/edit?usp=sharing"",""โฉนดM3!H85"")"),1886)</f>
        <v>1886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341160</v>
      </c>
      <c r="M357" s="132">
        <f t="shared" ca="1" si="228"/>
        <v>341160</v>
      </c>
      <c r="N357" s="132">
        <f t="shared" ca="1" si="228"/>
        <v>216466.67</v>
      </c>
      <c r="O357" s="132">
        <f t="shared" ref="O357:O365" ca="1" si="229">IF(L357&gt;0,N357*100/L357,0)</f>
        <v>63.450190526439208</v>
      </c>
      <c r="P357" s="132">
        <f t="shared" ref="P357:P365" ca="1" si="230">IF(M357&gt;0,N357*100/M357,0)</f>
        <v>63.450190526439208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341160</v>
      </c>
      <c r="M359" s="46">
        <f t="shared" ca="1" si="234"/>
        <v>341160</v>
      </c>
      <c r="N359" s="46">
        <f t="shared" ca="1" si="234"/>
        <v>216466.67</v>
      </c>
      <c r="O359" s="46">
        <f t="shared" ca="1" si="229"/>
        <v>63.450190526439208</v>
      </c>
      <c r="P359" s="46">
        <f t="shared" ca="1" si="230"/>
        <v>63.450190526439208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341160</v>
      </c>
      <c r="M360" s="46">
        <f t="shared" ca="1" si="236"/>
        <v>341160</v>
      </c>
      <c r="N360" s="46">
        <f t="shared" ca="1" si="236"/>
        <v>216466.67</v>
      </c>
      <c r="O360" s="46">
        <f t="shared" ca="1" si="229"/>
        <v>63.450190526439208</v>
      </c>
      <c r="P360" s="46">
        <f t="shared" ca="1" si="230"/>
        <v>63.450190526439208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IFERROR(__xludf.DUMMYFUNCTION("IMPORTRANGE(""https://docs.google.com/spreadsheets/d/1-uDff_7J0KD5mKrp0Vvzr7lt3OU09vwQwhkpOPPYv2Y/edit?usp=sharing"",""งบพรบ!FC85"")"),341160)</f>
        <v>341160</v>
      </c>
      <c r="M362" s="46">
        <f ca="1">IFERROR(__xludf.DUMMYFUNCTION("IMPORTRANGE(""https://docs.google.com/spreadsheets/d/1-uDff_7J0KD5mKrp0Vvzr7lt3OU09vwQwhkpOPPYv2Y/edit?usp=sharing"",""งบพรบ!FH85"")"),341160)</f>
        <v>341160</v>
      </c>
      <c r="N362" s="46">
        <f ca="1">IFERROR(__xludf.DUMMYFUNCTION("IMPORTRANGE(""https://docs.google.com/spreadsheets/d/1-uDff_7J0KD5mKrp0Vvzr7lt3OU09vwQwhkpOPPYv2Y/edit?usp=sharing"",""งบพรบ!FJ85"")"),216466.67)</f>
        <v>216466.67</v>
      </c>
      <c r="O362" s="46">
        <f t="shared" ca="1" si="229"/>
        <v>63.450190526439208</v>
      </c>
      <c r="P362" s="46">
        <f t="shared" ca="1" si="230"/>
        <v>63.450190526439208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IFERROR(__xludf.DUMMYFUNCTION("IMPORTRANGE(""https://docs.google.com/spreadsheets/d/1-uDff_7J0KD5mKrp0Vvzr7lt3OU09vwQwhkpOPPYv2Y/edit?usp=sharing"",""งบพรบ!FF85"")"),0)</f>
        <v>0</v>
      </c>
      <c r="M365" s="46">
        <f ca="1">IFERROR(__xludf.DUMMYFUNCTION("IMPORTRANGE(""https://docs.google.com/spreadsheets/d/1-uDff_7J0KD5mKrp0Vvzr7lt3OU09vwQwhkpOPPYv2Y/edit?usp=sharing"",""งบพรบ!FI85"")"),0)</f>
        <v>0</v>
      </c>
      <c r="N365" s="46">
        <f ca="1">IFERROR(__xludf.DUMMYFUNCTION("IMPORTRANGE(""https://docs.google.com/spreadsheets/d/1-uDff_7J0KD5mKrp0Vvzr7lt3OU09vwQwhkpOPPYv2Y/edit?usp=sharing"",""งบพรบ!FK85"")"),0)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34</v>
      </c>
      <c r="J366" s="235">
        <f t="shared" ca="1" si="240"/>
        <v>44</v>
      </c>
      <c r="K366" s="236">
        <f ca="1">IF(I366&gt;0,J366*100/I366,0)</f>
        <v>129.41176470588235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IFERROR(__xludf.DUMMYFUNCTION("IMPORTRANGE(""https://docs.google.com/spreadsheets/d/1tdoBKaGub7dwA3U6UFTqxio9LNnvDCQjHKmttSEBsFQ/edit?usp=sharing"",""จัดที่ดิน!AB85"")"),44)</f>
        <v>44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IFERROR(__xludf.DUMMYFUNCTION("IMPORTRANGE(""https://docs.google.com/spreadsheets/d/1eHaY18a8A9IcSdp1K8H6x8fbOy06t2VsZHhMHf-1x7Y/edit?usp=sharing"",""แผน!EW85"")"),355)</f>
        <v>355</v>
      </c>
      <c r="J369" s="676">
        <f ca="1">IFERROR(__xludf.DUMMYFUNCTION("IMPORTRANGE(""https://docs.google.com/spreadsheets/d/1tdoBKaGub7dwA3U6UFTqxio9LNnvDCQjHKmttSEBsFQ/edit?usp=sharing"",""จัดที่ดิน!AC85"")"),321.81)</f>
        <v>321.81</v>
      </c>
      <c r="K369" s="46">
        <f t="shared" ca="1" si="241"/>
        <v>90.650704225352115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IFERROR(__xludf.DUMMYFUNCTION("IMPORTRANGE(""https://docs.google.com/spreadsheets/d/1eHaY18a8A9IcSdp1K8H6x8fbOy06t2VsZHhMHf-1x7Y/edit?usp=sharing"",""แผน!EX85"")"),53)</f>
        <v>53</v>
      </c>
      <c r="J370" s="152">
        <f ca="1">IFERROR(__xludf.DUMMYFUNCTION("IMPORTRANGE(""https://docs.google.com/spreadsheets/d/1tdoBKaGub7dwA3U6UFTqxio9LNnvDCQjHKmttSEBsFQ/edit?usp=sharing"",""จัดที่ดิน!AD85"")"),62)</f>
        <v>62</v>
      </c>
      <c r="K370" s="46">
        <f t="shared" ca="1" si="241"/>
        <v>116.98113207547169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IFERROR(__xludf.DUMMYFUNCTION("IMPORTRANGE(""https://docs.google.com/spreadsheets/d/1tdoBKaGub7dwA3U6UFTqxio9LNnvDCQjHKmttSEBsFQ/edit?usp=sharing"",""จัดที่ดิน!AE85"")"),841.28)</f>
        <v>841.28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IFERROR(__xludf.DUMMYFUNCTION("IMPORTRANGE(""https://docs.google.com/spreadsheets/d/1eHaY18a8A9IcSdp1K8H6x8fbOy06t2VsZHhMHf-1x7Y/edit?usp=sharing"",""แผน!EY85"")"),34)</f>
        <v>34</v>
      </c>
      <c r="J372" s="152">
        <f ca="1">IFERROR(__xludf.DUMMYFUNCTION("IMPORTRANGE(""https://docs.google.com/spreadsheets/d/1tdoBKaGub7dwA3U6UFTqxio9LNnvDCQjHKmttSEBsFQ/edit?usp=sharing"",""จัดที่ดิน!AF85"")"),44)</f>
        <v>44</v>
      </c>
      <c r="K372" s="46">
        <f t="shared" ca="1" si="241"/>
        <v>129.41176470588235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IFERROR(__xludf.DUMMYFUNCTION("IMPORTRANGE(""https://docs.google.com/spreadsheets/d/1tdoBKaGub7dwA3U6UFTqxio9LNnvDCQjHKmttSEBsFQ/edit?usp=sharing"",""จัดที่ดิน!AG85"")"),565.68)</f>
        <v>565.67999999999995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300</v>
      </c>
      <c r="J375" s="684">
        <f t="shared" ca="1" si="242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18750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18750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18750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IFERROR(__xludf.DUMMYFUNCTION("IMPORTRANGE(""https://docs.google.com/spreadsheets/d/1ItG2mGa2ceCfYo0BwxsXqNm01IGEUdYcSSLTEv9YCik/edit?usp=sharing"",""เบิกจ่ายกองทุน!AY85"")"),18750)</f>
        <v>18750</v>
      </c>
      <c r="R381" s="46">
        <f ca="1">IFERROR(__xludf.DUMMYFUNCTION("IMPORTRANGE(""https://docs.google.com/spreadsheets/d/1ItG2mGa2ceCfYo0BwxsXqNm01IGEUdYcSSLTEv9YCik/edit?usp=sharing"",""เบิกจ่ายกองทุน!AZ85"")"),0)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IFERROR(__xludf.DUMMYFUNCTION("IMPORTRANGE(""https://docs.google.com/spreadsheets/d/1ItG2mGa2ceCfYo0BwxsXqNm01IGEUdYcSSLTEv9YCik/edit?usp=sharing"",""เบิกจ่ายกองทุน!BA85"")"),0)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IFERROR(__xludf.DUMMYFUNCTION("IMPORTRANGE(""https://docs.google.com/spreadsheets/d/1w5rwWK1o49a35cNtocGL0gxDwhFSTZUQu90BiH9_zqM/edit?usp=sharing"",""RTK!H85"")"),0)</f>
        <v>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IFERROR(__xludf.DUMMYFUNCTION("IMPORTRANGE(""https://docs.google.com/spreadsheets/d/1w5rwWK1o49a35cNtocGL0gxDwhFSTZUQu90BiH9_zqM/edit?usp=sharing"",""RTK!G85"")"),300)</f>
        <v>300</v>
      </c>
      <c r="J387" s="152">
        <f ca="1">IFERROR(__xludf.DUMMYFUNCTION("IMPORTRANGE(""https://docs.google.com/spreadsheets/d/1w5rwWK1o49a35cNtocGL0gxDwhFSTZUQu90BiH9_zqM/edit?usp=sharing"",""RTK!I85"")"),0)</f>
        <v>0</v>
      </c>
      <c r="K387" s="46">
        <f t="shared" ca="1" si="255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IFERROR(__xludf.DUMMYFUNCTION("IMPORTRANGE(""https://docs.google.com/spreadsheets/d/1w5rwWK1o49a35cNtocGL0gxDwhFSTZUQu90BiH9_zqM/edit?usp=sharing"",""RTK!L85"")"),0)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IFERROR(__xludf.DUMMYFUNCTION("IMPORTRANGE(""https://docs.google.com/spreadsheets/d/1w5rwWK1o49a35cNtocGL0gxDwhFSTZUQu90BiH9_zqM/edit?usp=sharing"",""RTK!K85"")"),0)</f>
        <v>0</v>
      </c>
      <c r="J389" s="691">
        <f ca="1">IFERROR(__xludf.DUMMYFUNCTION("IMPORTRANGE(""https://docs.google.com/spreadsheets/d/1w5rwWK1o49a35cNtocGL0gxDwhFSTZUQu90BiH9_zqM/edit?usp=sharing"",""RTK!M85"")"),0)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IFERROR(__xludf.DUMMYFUNCTION("IMPORTRANGE(""https://docs.google.com/spreadsheets/d/1ItG2mGa2ceCfYo0BwxsXqNm01IGEUdYcSSLTEv9YCik/edit?usp=sharing"",""เบิกจ่ายกองทุน!BH85"")"),0)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IFERROR(__xludf.DUMMYFUNCTION("IMPORTRANGE(""https://docs.google.com/spreadsheets/d/1ItG2mGa2ceCfYo0BwxsXqNm01IGEUdYcSSLTEv9YCik/edit?usp=sharing"",""เบิกจ่ายกองทุน!BI85"")"),0)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IFERROR(__xludf.DUMMYFUNCTION("IMPORTRANGE(""https://docs.google.com/spreadsheets/d/1ItG2mGa2ceCfYo0BwxsXqNm01IGEUdYcSSLTEv9YCik/edit?usp=sharing"",""เบิกจ่ายกองทุน!BJ85"")"),0)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IFERROR(__xludf.DUMMYFUNCTION("IMPORTRANGE(""https://docs.google.com/spreadsheets/d/1eHaY18a8A9IcSdp1K8H6x8fbOy06t2VsZHhMHf-1x7Y/edit?usp=sharing"",""แผน!HJ85"")"),0)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IFERROR(__xludf.DUMMYFUNCTION("IMPORTRANGE(""https://docs.google.com/spreadsheets/d/1eHaY18a8A9IcSdp1K8H6x8fbOy06t2VsZHhMHf-1x7Y/edit?usp=sharing"",""แผน!HK85"")"),0)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IFERROR(__xludf.DUMMYFUNCTION("IMPORTRANGE(""https://docs.google.com/spreadsheets/d/1eHaY18a8A9IcSdp1K8H6x8fbOy06t2VsZHhMHf-1x7Y/edit?usp=sharing"",""แผน!HJ85"")"),0)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IFERROR(__xludf.DUMMYFUNCTION("IMPORTRANGE(""https://docs.google.com/spreadsheets/d/1eHaY18a8A9IcSdp1K8H6x8fbOy06t2VsZHhMHf-1x7Y/edit?usp=sharing"",""แผน!HK85"")"),0)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IFERROR(__xludf.DUMMYFUNCTION("IMPORTRANGE(""https://docs.google.com/spreadsheets/d/1eHaY18a8A9IcSdp1K8H6x8fbOy06t2VsZHhMHf-1x7Y/edit?usp=sharing"",""แผน!HJ85"")"),0)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IFERROR(__xludf.DUMMYFUNCTION("IMPORTRANGE(""https://docs.google.com/spreadsheets/d/1eHaY18a8A9IcSdp1K8H6x8fbOy06t2VsZHhMHf-1x7Y/edit?usp=sharing"",""แผน!HK85"")"),0)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IFERROR(__xludf.DUMMYFUNCTION("IMPORTRANGE(""https://docs.google.com/spreadsheets/d/1eHaY18a8A9IcSdp1K8H6x8fbOy06t2VsZHhMHf-1x7Y/edit?usp=sharing"",""แผน!HL85"")"),0)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IFERROR(__xludf.DUMMYFUNCTION("IMPORTRANGE(""https://docs.google.com/spreadsheets/d/1eHaY18a8A9IcSdp1K8H6x8fbOy06t2VsZHhMHf-1x7Y/edit?usp=sharing"",""แผน!HM85"")"),0)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IFERROR(__xludf.DUMMYFUNCTION("IMPORTRANGE(""https://docs.google.com/spreadsheets/d/1eHaY18a8A9IcSdp1K8H6x8fbOy06t2VsZHhMHf-1x7Y/edit?usp=sharing"",""แผน!HN85"")"),0)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IFERROR(__xludf.DUMMYFUNCTION("IMPORTRANGE(""https://docs.google.com/spreadsheets/d/1eHaY18a8A9IcSdp1K8H6x8fbOy06t2VsZHhMHf-1x7Y/edit?usp=sharing"",""แผน!HO85"")"),0)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0</v>
      </c>
      <c r="R494" s="132">
        <f t="shared" ca="1" si="304"/>
        <v>0</v>
      </c>
      <c r="S494" s="132">
        <f t="shared" ca="1" si="304"/>
        <v>0</v>
      </c>
      <c r="T494" s="132">
        <f t="shared" ref="T494:T502" ca="1" si="305">IF(Q494&gt;0,S494*100/Q494,0)</f>
        <v>0</v>
      </c>
      <c r="U494" s="132">
        <f t="shared" ref="U494:U502" ca="1" si="306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0</v>
      </c>
      <c r="R496" s="46">
        <f t="shared" ca="1" si="308"/>
        <v>0</v>
      </c>
      <c r="S496" s="46">
        <f t="shared" ca="1" si="308"/>
        <v>0</v>
      </c>
      <c r="T496" s="46">
        <f t="shared" ca="1" si="305"/>
        <v>0</v>
      </c>
      <c r="U496" s="46">
        <f t="shared" ca="1" si="306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0</v>
      </c>
      <c r="R497" s="46">
        <f t="shared" ca="1" si="310"/>
        <v>0</v>
      </c>
      <c r="S497" s="46">
        <f t="shared" ca="1" si="310"/>
        <v>0</v>
      </c>
      <c r="T497" s="46">
        <f t="shared" ca="1" si="305"/>
        <v>0</v>
      </c>
      <c r="U497" s="46">
        <f t="shared" ca="1" si="306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IFERROR(__xludf.DUMMYFUNCTION("IMPORTRANGE(""https://docs.google.com/spreadsheets/d/1ItG2mGa2ceCfYo0BwxsXqNm01IGEUdYcSSLTEv9YCik/edit?usp=sharing"",""เบิกจ่ายกองทุน!X85"")"),0)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IFERROR(__xludf.DUMMYFUNCTION("IMPORTRANGE(""https://docs.google.com/spreadsheets/d/1ItG2mGa2ceCfYo0BwxsXqNm01IGEUdYcSSLTEv9YCik/edit?usp=sharing"",""เบิกจ่ายกองทุน!Y85"")"),0)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IFERROR(__xludf.DUMMYFUNCTION("IMPORTRANGE(""https://docs.google.com/spreadsheets/d/1ItG2mGa2ceCfYo0BwxsXqNm01IGEUdYcSSLTEv9YCik/edit?usp=sharing"",""เบิกจ่ายกองทุน!Z85"")"),0)</f>
        <v>0</v>
      </c>
      <c r="T499" s="46">
        <f t="shared" ca="1" si="305"/>
        <v>0</v>
      </c>
      <c r="U499" s="46">
        <f t="shared" ca="1" si="306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IFERROR(__xludf.DUMMYFUNCTION("IMPORTRANGE(""https://docs.google.com/spreadsheets/d/1eHaY18a8A9IcSdp1K8H6x8fbOy06t2VsZHhMHf-1x7Y/edit?usp=sharing"",""แผน!GX85"")"),0)</f>
        <v>0</v>
      </c>
      <c r="J504" s="147">
        <f ca="1">IF(AND(J505=I505,J506=I506,J507=I507,J508=I508),I504,0)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IFERROR(__xludf.DUMMYFUNCTION("IMPORTRANGE(""https://docs.google.com/spreadsheets/d/1eHaY18a8A9IcSdp1K8H6x8fbOy06t2VsZHhMHf-1x7Y/edit?usp=sharing"",""แผน!GY85"")"),0)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IFERROR(__xludf.DUMMYFUNCTION("IMPORTRANGE(""https://docs.google.com/spreadsheets/d/1eHaY18a8A9IcSdp1K8H6x8fbOy06t2VsZHhMHf-1x7Y/edit?usp=sharing"",""แผน!GZ85"")"),0)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IFERROR(__xludf.DUMMYFUNCTION("IMPORTRANGE(""https://docs.google.com/spreadsheets/d/1eHaY18a8A9IcSdp1K8H6x8fbOy06t2VsZHhMHf-1x7Y/edit?usp=sharing"",""แผน!HA85"")"),0)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IFERROR(__xludf.DUMMYFUNCTION("IMPORTRANGE(""https://docs.google.com/spreadsheets/d/1eHaY18a8A9IcSdp1K8H6x8fbOy06t2VsZHhMHf-1x7Y/edit?usp=sharing"",""แผน!HB85"")"),0)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IFERROR(__xludf.DUMMYFUNCTION("IMPORTRANGE(""https://docs.google.com/spreadsheets/d/1eHaY18a8A9IcSdp1K8H6x8fbOy06t2VsZHhMHf-1x7Y/edit?usp=sharing"",""แผน!HC85"")"),0)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4">I525</f>
        <v>0</v>
      </c>
      <c r="J513" s="766">
        <f t="shared" si="314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5">L515+L516</f>
        <v>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1"/>
        <v>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IFERROR(__xludf.DUMMYFUNCTION("IMPORTRANGE(""https://docs.google.com/spreadsheets/d/1-uDff_7J0KD5mKrp0Vvzr7lt3OU09vwQwhkpOPPYv2Y/edit?usp=sharing"",""งบพรบ!FM85"")"),0)</f>
        <v>0</v>
      </c>
      <c r="M519" s="46">
        <f ca="1">IFERROR(__xludf.DUMMYFUNCTION("IMPORTRANGE(""https://docs.google.com/spreadsheets/d/1-uDff_7J0KD5mKrp0Vvzr7lt3OU09vwQwhkpOPPYv2Y/edit?usp=sharing"",""งบพรบ!FR85"")"),0)</f>
        <v>0</v>
      </c>
      <c r="N519" s="46">
        <f ca="1">IFERROR(__xludf.DUMMYFUNCTION("IMPORTRANGE(""https://docs.google.com/spreadsheets/d/1-uDff_7J0KD5mKrp0Vvzr7lt3OU09vwQwhkpOPPYv2Y/edit?usp=sharing"",""งบพรบ!FT85"")"),0)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5">L521+L522</f>
        <v>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IFERROR(__xludf.DUMMYFUNCTION("IMPORTRANGE(""https://docs.google.com/spreadsheets/d/1-uDff_7J0KD5mKrp0Vvzr7lt3OU09vwQwhkpOPPYv2Y/edit?usp=sharing"",""งบพรบ!FP85"")"),0)</f>
        <v>0</v>
      </c>
      <c r="M522" s="46">
        <f ca="1">IFERROR(__xludf.DUMMYFUNCTION("IMPORTRANGE(""https://docs.google.com/spreadsheets/d/1-uDff_7J0KD5mKrp0Vvzr7lt3OU09vwQwhkpOPPYv2Y/edit?usp=sharing"",""งบพรบ!FS85"")"),0)</f>
        <v>0</v>
      </c>
      <c r="N522" s="46">
        <f ca="1">IFERROR(__xludf.DUMMYFUNCTION("IMPORTRANGE(""https://docs.google.com/spreadsheets/d/1-uDff_7J0KD5mKrp0Vvzr7lt3OU09vwQwhkpOPPYv2Y/edit?usp=sharing"",""งบพรบ!FU85"")"),0)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1725</v>
      </c>
      <c r="R617" s="132">
        <f t="shared" ca="1" si="383"/>
        <v>1725</v>
      </c>
      <c r="S617" s="132">
        <f t="shared" ca="1" si="383"/>
        <v>0</v>
      </c>
      <c r="T617" s="132">
        <f t="shared" ref="T617:T625" ca="1" si="384">IF(Q617&gt;0,S617*100/Q617,0)</f>
        <v>0</v>
      </c>
      <c r="U617" s="132">
        <f t="shared" ref="U617:U625" ca="1" si="385">IF(R617&gt;0,S617*100/R617,0)</f>
        <v>0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1725</v>
      </c>
      <c r="R619" s="46">
        <f t="shared" ca="1" si="387"/>
        <v>1725</v>
      </c>
      <c r="S619" s="46">
        <f t="shared" ca="1" si="387"/>
        <v>0</v>
      </c>
      <c r="T619" s="46">
        <f t="shared" ca="1" si="384"/>
        <v>0</v>
      </c>
      <c r="U619" s="46">
        <f t="shared" ca="1" si="385"/>
        <v>0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1725</v>
      </c>
      <c r="R620" s="46">
        <f t="shared" ca="1" si="389"/>
        <v>1725</v>
      </c>
      <c r="S620" s="46">
        <f t="shared" ca="1" si="389"/>
        <v>0</v>
      </c>
      <c r="T620" s="46">
        <f t="shared" ca="1" si="384"/>
        <v>0</v>
      </c>
      <c r="U620" s="46">
        <f t="shared" ca="1" si="385"/>
        <v>0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IFERROR(__xludf.DUMMYFUNCTION("IMPORTRANGE(""https://docs.google.com/spreadsheets/d/1ItG2mGa2ceCfYo0BwxsXqNm01IGEUdYcSSLTEv9YCik/edit?usp=sharing"",""เบิกจ่ายกองทุน!F85"")"),1725)</f>
        <v>1725</v>
      </c>
      <c r="R622" s="46">
        <f ca="1">IFERROR(__xludf.DUMMYFUNCTION("IMPORTRANGE(""https://docs.google.com/spreadsheets/d/1ItG2mGa2ceCfYo0BwxsXqNm01IGEUdYcSSLTEv9YCik/edit?usp=sharing"",""เบิกจ่ายกองทุน!G85"")"),1725)</f>
        <v>1725</v>
      </c>
      <c r="S622" s="46">
        <f ca="1">IFERROR(__xludf.DUMMYFUNCTION("IMPORTRANGE(""https://docs.google.com/spreadsheets/d/1ItG2mGa2ceCfYo0BwxsXqNm01IGEUdYcSSLTEv9YCik/edit?usp=sharing"",""เบิกจ่ายกองทุน!H85"")"),0)</f>
        <v>0</v>
      </c>
      <c r="T622" s="46">
        <f t="shared" ca="1" si="384"/>
        <v>0</v>
      </c>
      <c r="U622" s="46">
        <f t="shared" ca="1" si="385"/>
        <v>0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IFERROR(__xludf.DUMMYFUNCTION("IMPORTRANGE(""https://docs.google.com/spreadsheets/d/1eHaY18a8A9IcSdp1K8H6x8fbOy06t2VsZHhMHf-1x7Y/edit?usp=sharing"",""แผน!ID85"")"),0)</f>
        <v>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8">
        <v>1</v>
      </c>
      <c r="K628" s="46">
        <f t="shared" ref="K628:K629" ca="1" si="392">IF(I628&gt;0,(J628*100)/I628,0)</f>
        <v>100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IFERROR(__xludf.DUMMYFUNCTION("IMPORTRANGE(""https://docs.google.com/spreadsheets/d/1eHaY18a8A9IcSdp1K8H6x8fbOy06t2VsZHhMHf-1x7Y/edit?usp=sharing"",""แผน!IC85"")"),1)</f>
        <v>1</v>
      </c>
      <c r="J629" s="168">
        <v>1</v>
      </c>
      <c r="K629" s="46">
        <f t="shared" ca="1" si="392"/>
        <v>100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IFERROR(__xludf.DUMMYFUNCTION("IMPORTRANGE(""https://docs.google.com/spreadsheets/d/1eHaY18a8A9IcSdp1K8H6x8fbOy06t2VsZHhMHf-1x7Y/edit?usp=sharing"",""แผน!IE85"")"),0)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0</v>
      </c>
      <c r="R643" s="132">
        <f t="shared" ca="1" si="397"/>
        <v>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0</v>
      </c>
      <c r="R645" s="46">
        <f t="shared" ca="1" si="401"/>
        <v>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0</v>
      </c>
      <c r="R646" s="46">
        <f t="shared" ca="1" si="403"/>
        <v>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IFERROR(__xludf.DUMMYFUNCTION("IMPORTRANGE(""https://docs.google.com/spreadsheets/d/1ItG2mGa2ceCfYo0BwxsXqNm01IGEUdYcSSLTEv9YCik/edit?usp=sharing"",""เบิกจ่ายกองทุน!I85"")"),0)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IFERROR(__xludf.DUMMYFUNCTION("IMPORTRANGE(""https://docs.google.com/spreadsheets/d/1ItG2mGa2ceCfYo0BwxsXqNm01IGEUdYcSSLTEv9YCik/edit?usp=sharing"",""เบิกจ่ายกองทุน!J85"")"),0)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IFERROR(__xludf.DUMMYFUNCTION("IMPORTRANGE(""https://docs.google.com/spreadsheets/d/1ItG2mGa2ceCfYo0BwxsXqNm01IGEUdYcSSLTEv9YCik/edit?usp=sharing"",""เบิกจ่ายกองทุน!K85"")"),0)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IFERROR(__xludf.DUMMYFUNCTION("IMPORTRANGE(""https://docs.google.com/spreadsheets/d/1eHaY18a8A9IcSdp1K8H6x8fbOy06t2VsZHhMHf-1x7Y/edit?usp=sharing"",""แผน!IF85"")"),0)</f>
        <v>0</v>
      </c>
      <c r="J653" s="152">
        <f ca="1">IFERROR(__xludf.DUMMYFUNCTION("IMPORTRANGE(""https://docs.google.com/spreadsheets/d/1tdoBKaGub7dwA3U6UFTqxio9LNnvDCQjHKmttSEBsFQ/edit?usp=sharing"",""จัดที่ดิน!AU85"")"),0)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IFERROR(__xludf.DUMMYFUNCTION("IMPORTRANGE(""https://docs.google.com/spreadsheets/d/1eHaY18a8A9IcSdp1K8H6x8fbOy06t2VsZHhMHf-1x7Y/edit?usp=sharing"",""แผน!IG85"")"),0)</f>
        <v>0</v>
      </c>
      <c r="J654" s="152">
        <f ca="1">IFERROR(__xludf.DUMMYFUNCTION("IMPORTRANGE(""https://docs.google.com/spreadsheets/d/1tdoBKaGub7dwA3U6UFTqxio9LNnvDCQjHKmttSEBsFQ/edit?usp=sharing"",""จัดที่ดิน!AW85"")"),0)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IFERROR(__xludf.DUMMYFUNCTION("IMPORTRANGE(""https://docs.google.com/spreadsheets/d/1eHaY18a8A9IcSdp1K8H6x8fbOy06t2VsZHhMHf-1x7Y/edit?usp=sharing"",""แผน!IH85"")"),0)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IFERROR(__xludf.DUMMYFUNCTION("IMPORTRANGE(""https://docs.google.com/spreadsheets/d/1eHaY18a8A9IcSdp1K8H6x8fbOy06t2VsZHhMHf-1x7Y/edit?usp=sharing"",""แผน!II85"")"),0)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IFERROR(__xludf.DUMMYFUNCTION("IMPORTRANGE(""https://docs.google.com/spreadsheets/d/1eHaY18a8A9IcSdp1K8H6x8fbOy06t2VsZHhMHf-1x7Y/edit?usp=sharing"",""แผน!IJ85"")"),0)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IFERROR(__xludf.DUMMYFUNCTION("IMPORTRANGE(""https://docs.google.com/spreadsheets/d/1eHaY18a8A9IcSdp1K8H6x8fbOy06t2VsZHhMHf-1x7Y/edit?usp=sharing"",""แผน!IK85"")"),0)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IFERROR(__xludf.DUMMYFUNCTION("IMPORTRANGE(""https://docs.google.com/spreadsheets/d/1tdoBKaGub7dwA3U6UFTqxio9LNnvDCQjHKmttSEBsFQ/edit?usp=sharing"",""จัดที่ดิน!AY85"")"),0)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IFERROR(__xludf.DUMMYFUNCTION("IMPORTRANGE(""https://docs.google.com/spreadsheets/d/1tdoBKaGub7dwA3U6UFTqxio9LNnvDCQjHKmttSEBsFQ/edit?usp=sharing"",""จัดที่ดิน!AZ85"")"),0)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IFERROR(__xludf.DUMMYFUNCTION("IMPORTRANGE(""https://docs.google.com/spreadsheets/d/1eHaY18a8A9IcSdp1K8H6x8fbOy06t2VsZHhMHf-1x7Y/edit?usp=sharing"",""แผน!IL85"")"),0)</f>
        <v>0</v>
      </c>
      <c r="J674" s="152">
        <f ca="1">IFERROR(__xludf.DUMMYFUNCTION("IMPORTRANGE(""https://docs.google.com/spreadsheets/d/1tdoBKaGub7dwA3U6UFTqxio9LNnvDCQjHKmttSEBsFQ/edit?usp=sharing"",""จัดที่ดิน!BA85"")"),0)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IFERROR(__xludf.DUMMYFUNCTION("IMPORTRANGE(""https://docs.google.com/spreadsheets/d/1eHaY18a8A9IcSdp1K8H6x8fbOy06t2VsZHhMHf-1x7Y/edit?usp=sharing"",""แผน!IM85"")"),0)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IFERROR(__xludf.DUMMYFUNCTION("IMPORTRANGE(""https://docs.google.com/spreadsheets/d/1eHaY18a8A9IcSdp1K8H6x8fbOy06t2VsZHhMHf-1x7Y/edit?usp=sharing"",""แผน!IN85"")"),0)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IFERROR(__xludf.DUMMYFUNCTION("IMPORTRANGE(""https://docs.google.com/spreadsheets/d/1eHaY18a8A9IcSdp1K8H6x8fbOy06t2VsZHhMHf-1x7Y/edit?usp=sharing"",""แผน!IO85"")"),0)</f>
        <v>0</v>
      </c>
      <c r="J677" s="152">
        <f ca="1">IFERROR(__xludf.DUMMYFUNCTION("IMPORTRANGE(""https://docs.google.com/spreadsheets/d/1tdoBKaGub7dwA3U6UFTqxio9LNnvDCQjHKmttSEBsFQ/edit?usp=sharing"",""จัดที่ดิน!BF85"")"),0)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IFERROR(__xludf.DUMMYFUNCTION("IMPORTRANGE(""https://docs.google.com/spreadsheets/d/1tdoBKaGub7dwA3U6UFTqxio9LNnvDCQjHKmttSEBsFQ/edit?usp=sharing"",""จัดที่ดิน!BG85"")"),0)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IFERROR(__xludf.DUMMYFUNCTION("IMPORTRANGE(""https://docs.google.com/spreadsheets/d/1eHaY18a8A9IcSdp1K8H6x8fbOy06t2VsZHhMHf-1x7Y/edit?usp=sharing"",""แผน!IP85"")"),0)</f>
        <v>0</v>
      </c>
      <c r="J679" s="152">
        <f ca="1">IFERROR(__xludf.DUMMYFUNCTION("IMPORTRANGE(""https://docs.google.com/spreadsheets/d/1tdoBKaGub7dwA3U6UFTqxio9LNnvDCQjHKmttSEBsFQ/edit?usp=sharing"",""จัดที่ดิน!BH85"")"),0)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IFERROR(__xludf.DUMMYFUNCTION("IMPORTRANGE(""https://docs.google.com/spreadsheets/d/1eHaY18a8A9IcSdp1K8H6x8fbOy06t2VsZHhMHf-1x7Y/edit?usp=sharing"",""แผน!IQ85"")"),0)</f>
        <v>0</v>
      </c>
      <c r="J680" s="152">
        <f ca="1">IFERROR(__xludf.DUMMYFUNCTION("IMPORTRANGE(""https://docs.google.com/spreadsheets/d/1tdoBKaGub7dwA3U6UFTqxio9LNnvDCQjHKmttSEBsFQ/edit?usp=sharing"",""จัดที่ดิน!BK85"")"),0)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IFERROR(__xludf.DUMMYFUNCTION("IMPORTRANGE(""https://docs.google.com/spreadsheets/d/1tdoBKaGub7dwA3U6UFTqxio9LNnvDCQjHKmttSEBsFQ/edit?usp=sharing"",""จัดที่ดิน!BL85"")"),0)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IFERROR(__xludf.DUMMYFUNCTION("IMPORTRANGE(""https://docs.google.com/spreadsheets/d/1eHaY18a8A9IcSdp1K8H6x8fbOy06t2VsZHhMHf-1x7Y/edit?usp=sharing"",""แผน!IR85"")"),0)</f>
        <v>0</v>
      </c>
      <c r="J682" s="152">
        <f ca="1">IFERROR(__xludf.DUMMYFUNCTION("IMPORTRANGE(""https://docs.google.com/spreadsheets/d/1tdoBKaGub7dwA3U6UFTqxio9LNnvDCQjHKmttSEBsFQ/edit?usp=sharing"",""จัดที่ดิน!BM85"")"),0)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IFERROR(__xludf.DUMMYFUNCTION("IMPORTRANGE(""https://docs.google.com/spreadsheets/d/1eHaY18a8A9IcSdp1K8H6x8fbOy06t2VsZHhMHf-1x7Y/edit?usp=sharing"",""แผน!IS85"")"),0)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0">I708</f>
        <v>0</v>
      </c>
      <c r="J690" s="753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66220</v>
      </c>
      <c r="R691" s="132">
        <f t="shared" ca="1" si="414"/>
        <v>66220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66220</v>
      </c>
      <c r="R693" s="46">
        <f t="shared" ca="1" si="418"/>
        <v>66220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66220</v>
      </c>
      <c r="R694" s="46">
        <f t="shared" ca="1" si="420"/>
        <v>66220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6" s="46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6" s="46">
        <f ca="1">IFERROR(__xludf.DUMMYFUNCTION("IMPORTRANGE(""https://docs.google.com/spreadsheets/d/1ItG2mGa2ceCfYo0BwxsXqNm01IGEUdYcSSLTEv9YCik/edit?usp=sharing"",""เบิกจ่ายกองทุน!N85"")"),0)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IFERROR(__xludf.DUMMYFUNCTION("IMPORTRANGE(""https://docs.google.com/spreadsheets/d/1eHaY18a8A9IcSdp1K8H6x8fbOy06t2VsZHhMHf-1x7Y/edit?usp=sharing"",""แผน!LC85"")"),0)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3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IFERROR(__xludf.DUMMYFUNCTION("IMPORTRANGE(""https://docs.google.com/spreadsheets/d/1eHaY18a8A9IcSdp1K8H6x8fbOy06t2VsZHhMHf-1x7Y/edit?usp=sharing"",""แผน!LJ85"")"),0)</f>
        <v>0</v>
      </c>
      <c r="J704" s="152">
        <f ca="1">IFERROR(__xludf.DUMMYFUNCTION("IMPORTRANGE(""https://docs.google.com/spreadsheets/d/1tdoBKaGub7dwA3U6UFTqxio9LNnvDCQjHKmttSEBsFQ/edit?usp=sharing"",""จัดที่ดิน!AP85"")"),0)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IFERROR(__xludf.DUMMYFUNCTION("IMPORTRANGE(""https://docs.google.com/spreadsheets/d/1tdoBKaGub7dwA3U6UFTqxio9LNnvDCQjHKmttSEBsFQ/edit?usp=sharing"",""จัดที่ดิน!AQ85"")"),0)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IFERROR(__xludf.DUMMYFUNCTION("IMPORTRANGE(""https://docs.google.com/spreadsheets/d/1eHaY18a8A9IcSdp1K8H6x8fbOy06t2VsZHhMHf-1x7Y/edit?usp=sharing"",""แผน!LK85"")"),3)</f>
        <v>3</v>
      </c>
      <c r="J706" s="152">
        <f ca="1">IFERROR(__xludf.DUMMYFUNCTION("IMPORTRANGE(""https://docs.google.com/spreadsheets/d/1tdoBKaGub7dwA3U6UFTqxio9LNnvDCQjHKmttSEBsFQ/edit?usp=sharing"",""จัดที่ดิน!AR85"")"),0)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IFERROR(__xludf.DUMMYFUNCTION("IMPORTRANGE(""https://docs.google.com/spreadsheets/d/1tdoBKaGub7dwA3U6UFTqxio9LNnvDCQjHKmttSEBsFQ/edit?usp=sharing"",""จัดที่ดิน!AS85"")"),0)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IFERROR(__xludf.DUMMYFUNCTION("IMPORTRANGE(""https://docs.google.com/spreadsheets/d/1eHaY18a8A9IcSdp1K8H6x8fbOy06t2VsZHhMHf-1x7Y/edit?usp=sharing"",""แผน!LJ85"")"),0)</f>
        <v>0</v>
      </c>
      <c r="J708" s="152">
        <f ca="1">IFERROR(__xludf.DUMMYFUNCTION("IMPORTRANGE(""https://docs.google.com/spreadsheets/d/1tdoBKaGub7dwA3U6UFTqxio9LNnvDCQjHKmttSEBsFQ/edit?usp=sharing"",""จัดที่ดิน!BN85"")"),0)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IFERROR(__xludf.DUMMYFUNCTION("IMPORTRANGE(""https://docs.google.com/spreadsheets/d/1tdoBKaGub7dwA3U6UFTqxio9LNnvDCQjHKmttSEBsFQ/edit?usp=sharing"",""จัดที่ดิน!BO85"")"),0)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IFERROR(__xludf.DUMMYFUNCTION("IMPORTRANGE(""https://docs.google.com/spreadsheets/d/1eHaY18a8A9IcSdp1K8H6x8fbOy06t2VsZHhMHf-1x7Y/edit?usp=sharing"",""แผน!LK85"")"),3)</f>
        <v>3</v>
      </c>
      <c r="J710" s="152">
        <f ca="1">IFERROR(__xludf.DUMMYFUNCTION("IMPORTRANGE(""https://docs.google.com/spreadsheets/d/1tdoBKaGub7dwA3U6UFTqxio9LNnvDCQjHKmttSEBsFQ/edit?usp=sharing"",""จัดที่ดิน!BP85"")"),0)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IFERROR(__xludf.DUMMYFUNCTION("IMPORTRANGE(""https://docs.google.com/spreadsheets/d/1tdoBKaGub7dwA3U6UFTqxio9LNnvDCQjHKmttSEBsFQ/edit?usp=sharing"",""จัดที่ดิน!BQ85"")"),0)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IFERROR(__xludf.DUMMYFUNCTION("IMPORTRANGE(""https://docs.google.com/spreadsheets/d/1eHaY18a8A9IcSdp1K8H6x8fbOy06t2VsZHhMHf-1x7Y/edit?usp=sharing"",""แผน!GA85"")"),51)</f>
        <v>51</v>
      </c>
      <c r="J727" s="448">
        <f>J743+J747+J750</f>
        <v>50</v>
      </c>
      <c r="K727" s="449">
        <f t="shared" ref="K727:K728" ca="1" si="437">IF(I727&gt;0,J727*100/I727,0)</f>
        <v>98.039215686274517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IFERROR(__xludf.DUMMYFUNCTION("IMPORTRANGE(""https://docs.google.com/spreadsheets/d/1eHaY18a8A9IcSdp1K8H6x8fbOy06t2VsZHhMHf-1x7Y/edit?usp=sharing"",""แผน!FZ85"")"),500)</f>
        <v>500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379090</v>
      </c>
      <c r="R729" s="132">
        <f t="shared" ca="1" si="441"/>
        <v>379090</v>
      </c>
      <c r="S729" s="132">
        <f t="shared" ca="1" si="441"/>
        <v>1720</v>
      </c>
      <c r="T729" s="132">
        <f t="shared" ref="T729:T737" ca="1" si="442">IF(Q729&gt;0,S729*100/Q729,0)</f>
        <v>0.45371811443192911</v>
      </c>
      <c r="U729" s="132">
        <f t="shared" ref="U729:U737" ca="1" si="443">IF(R729&gt;0,S729*100/R729,0)</f>
        <v>0.45371811443192911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379090</v>
      </c>
      <c r="R731" s="46">
        <f t="shared" ca="1" si="445"/>
        <v>379090</v>
      </c>
      <c r="S731" s="46">
        <f t="shared" ca="1" si="445"/>
        <v>1720</v>
      </c>
      <c r="T731" s="46">
        <f t="shared" ca="1" si="442"/>
        <v>0.45371811443192911</v>
      </c>
      <c r="U731" s="46">
        <f t="shared" ca="1" si="443"/>
        <v>0.45371811443192911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379090</v>
      </c>
      <c r="R732" s="46">
        <f t="shared" ca="1" si="447"/>
        <v>379090</v>
      </c>
      <c r="S732" s="46">
        <f t="shared" ca="1" si="447"/>
        <v>1720</v>
      </c>
      <c r="T732" s="46">
        <f t="shared" ca="1" si="442"/>
        <v>0.45371811443192911</v>
      </c>
      <c r="U732" s="46">
        <f t="shared" ca="1" si="443"/>
        <v>0.45371811443192911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4" s="46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4" s="46">
        <f ca="1">IFERROR(__xludf.DUMMYFUNCTION("IMPORTRANGE(""https://docs.google.com/spreadsheets/d/1ItG2mGa2ceCfYo0BwxsXqNm01IGEUdYcSSLTEv9YCik/edit?usp=sharing"",""เบิกจ่ายกองทุน!Q85"")"),1720)</f>
        <v>1720</v>
      </c>
      <c r="T734" s="46">
        <f t="shared" ca="1" si="442"/>
        <v>0.45371811443192911</v>
      </c>
      <c r="U734" s="46">
        <f t="shared" ca="1" si="443"/>
        <v>0.45371811443192911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636"/>
      <c r="B740" s="637"/>
      <c r="C740" s="637"/>
      <c r="D740" s="637"/>
      <c r="E740" s="755" t="s">
        <v>270</v>
      </c>
      <c r="F740" s="637"/>
      <c r="G740" s="639"/>
      <c r="H740" s="690"/>
      <c r="I740" s="623"/>
      <c r="J740" s="623"/>
      <c r="K740" s="624"/>
      <c r="L740" s="692"/>
      <c r="M740" s="624"/>
      <c r="N740" s="624"/>
      <c r="O740" s="624"/>
      <c r="P740" s="624"/>
      <c r="Q740" s="624"/>
      <c r="R740" s="624"/>
      <c r="S740" s="624"/>
      <c r="T740" s="624"/>
      <c r="U740" s="624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IFERROR(__xludf.DUMMYFUNCTION("IMPORTRANGE(""https://docs.google.com/spreadsheets/d/1eHaY18a8A9IcSdp1K8H6x8fbOy06t2VsZHhMHf-1x7Y/edit?usp=sharing"",""แผน!GB85"")"),400)</f>
        <v>400</v>
      </c>
      <c r="J741" s="723">
        <v>455</v>
      </c>
      <c r="K741" s="630">
        <f ca="1">IF(I741&gt;0,J741*100/I741,0)</f>
        <v>113.75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40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IFERROR(__xludf.DUMMYFUNCTION("IMPORTRANGE(""https://docs.google.com/spreadsheets/d/1eHaY18a8A9IcSdp1K8H6x8fbOy06t2VsZHhMHf-1x7Y/edit?usp=sharing"",""แผน!GC85"")"),40)</f>
        <v>40</v>
      </c>
      <c r="J743" s="723">
        <v>40</v>
      </c>
      <c r="K743" s="630">
        <f ca="1">IF(I743&gt;0,J743*100/I743,0)</f>
        <v>100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IFERROR(__xludf.DUMMYFUNCTION("IMPORTRANGE(""https://docs.google.com/spreadsheets/d/1eHaY18a8A9IcSdp1K8H6x8fbOy06t2VsZHhMHf-1x7Y/edit?usp=sharing"",""แผน!GD85"")"),100)</f>
        <v>100</v>
      </c>
      <c r="J745" s="723">
        <v>115</v>
      </c>
      <c r="K745" s="630">
        <f ca="1">IF(I745&gt;0,J745*100/I745,0)</f>
        <v>115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10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IFERROR(__xludf.DUMMYFUNCTION("IMPORTRANGE(""https://docs.google.com/spreadsheets/d/1eHaY18a8A9IcSdp1K8H6x8fbOy06t2VsZHhMHf-1x7Y/edit?usp=sharing"",""แผน!GE85"")"),10)</f>
        <v>10</v>
      </c>
      <c r="J747" s="723">
        <v>10</v>
      </c>
      <c r="K747" s="630">
        <f ca="1">IF(I747&gt;0,J747*100/I747,0)</f>
        <v>100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IFERROR(__xludf.DUMMYFUNCTION("IMPORTRANGE(""https://docs.google.com/spreadsheets/d/1eHaY18a8A9IcSdp1K8H6x8fbOy06t2VsZHhMHf-1x7Y/edit?usp=sharing"",""แผน!GF85"")"),1)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IFERROR(__xludf.DUMMYFUNCTION("IMPORTRANGE(""https://docs.google.com/spreadsheets/d/1eHaY18a8A9IcSdp1K8H6x8fbOy06t2VsZHhMHf-1x7Y/edit?usp=sharing"",""แผน!GB85"")"),400)</f>
        <v>400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IFERROR(__xludf.DUMMYFUNCTION("IMPORTRANGE(""https://docs.google.com/spreadsheets/d/1eHaY18a8A9IcSdp1K8H6x8fbOy06t2VsZHhMHf-1x7Y/edit?usp=sharing"",""แผน!GD85"")"),100)</f>
        <v>100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20</v>
      </c>
      <c r="J759" s="448">
        <f t="shared" si="450"/>
        <v>20</v>
      </c>
      <c r="K759" s="449">
        <f t="shared" ref="K759:K760" ca="1" si="451">IF(I759&gt;0,J759*100/I759,0)</f>
        <v>100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20</v>
      </c>
      <c r="J760" s="448">
        <f t="shared" si="452"/>
        <v>20</v>
      </c>
      <c r="K760" s="449">
        <f t="shared" ca="1" si="451"/>
        <v>100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109660</v>
      </c>
      <c r="R761" s="132">
        <f t="shared" ca="1" si="456"/>
        <v>109660</v>
      </c>
      <c r="S761" s="132">
        <f t="shared" ca="1" si="456"/>
        <v>0</v>
      </c>
      <c r="T761" s="132">
        <f t="shared" ref="T761:T769" ca="1" si="457">IF(Q761&gt;0,S761*100/Q761,0)</f>
        <v>0</v>
      </c>
      <c r="U761" s="132">
        <f t="shared" ref="U761:U769" ca="1" si="458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109660</v>
      </c>
      <c r="R763" s="46">
        <f t="shared" ca="1" si="460"/>
        <v>109660</v>
      </c>
      <c r="S763" s="46">
        <f t="shared" ca="1" si="460"/>
        <v>0</v>
      </c>
      <c r="T763" s="46">
        <f t="shared" ca="1" si="457"/>
        <v>0</v>
      </c>
      <c r="U763" s="46">
        <f t="shared" ca="1" si="458"/>
        <v>0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109660</v>
      </c>
      <c r="R764" s="46">
        <f t="shared" ca="1" si="462"/>
        <v>109660</v>
      </c>
      <c r="S764" s="46">
        <f t="shared" ca="1" si="462"/>
        <v>0</v>
      </c>
      <c r="T764" s="46">
        <f t="shared" ca="1" si="457"/>
        <v>0</v>
      </c>
      <c r="U764" s="46">
        <f t="shared" ca="1" si="458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IFERROR(__xludf.DUMMYFUNCTION("IMPORTRANGE(""https://docs.google.com/spreadsheets/d/1ItG2mGa2ceCfYo0BwxsXqNm01IGEUdYcSSLTEv9YCik/edit?usp=sharing"",""เบิกจ่ายกองทุน!U85"")"),109660)</f>
        <v>109660</v>
      </c>
      <c r="R766" s="46">
        <f ca="1">IFERROR(__xludf.DUMMYFUNCTION("IMPORTRANGE(""https://docs.google.com/spreadsheets/d/1ItG2mGa2ceCfYo0BwxsXqNm01IGEUdYcSSLTEv9YCik/edit?usp=sharing"",""เบิกจ่ายกองทุน!V85"")"),109660)</f>
        <v>109660</v>
      </c>
      <c r="S766" s="46">
        <f ca="1">IFERROR(__xludf.DUMMYFUNCTION("IMPORTRANGE(""https://docs.google.com/spreadsheets/d/1ItG2mGa2ceCfYo0BwxsXqNm01IGEUdYcSSLTEv9YCik/edit?usp=sharing"",""เบิกจ่ายกองทุน!W85"")"),0)</f>
        <v>0</v>
      </c>
      <c r="T766" s="46">
        <f t="shared" ca="1" si="457"/>
        <v>0</v>
      </c>
      <c r="U766" s="46">
        <f t="shared" ca="1" si="458"/>
        <v>0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IFERROR(__xludf.DUMMYFUNCTION("IMPORTRANGE(""https://docs.google.com/spreadsheets/d/1eHaY18a8A9IcSdp1K8H6x8fbOy06t2VsZHhMHf-1x7Y/edit?usp=sharing"",""แผน!FI85"")"),0)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IFERROR(__xludf.DUMMYFUNCTION("IMPORTRANGE(""https://docs.google.com/spreadsheets/d/1eHaY18a8A9IcSdp1K8H6x8fbOy06t2VsZHhMHf-1x7Y/edit?usp=sharing"",""แผน!FQ85"")"),20)</f>
        <v>20</v>
      </c>
      <c r="J773" s="168">
        <v>20</v>
      </c>
      <c r="K773" s="46">
        <f ca="1">IF(I773&gt;0,J773*100/I773,0)</f>
        <v>100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IFERROR(__xludf.DUMMYFUNCTION("IMPORTRANGE(""https://docs.google.com/spreadsheets/d/1eHaY18a8A9IcSdp1K8H6x8fbOy06t2VsZHhMHf-1x7Y/edit?usp=sharing"",""แผน!FR85"")"),20)</f>
        <v>20</v>
      </c>
      <c r="J775" s="168">
        <v>20</v>
      </c>
      <c r="K775" s="46">
        <f ca="1">IF(I775&gt;0,J775*100/I775,0)</f>
        <v>100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IFERROR(__xludf.DUMMYFUNCTION("IMPORTRANGE(""https://docs.google.com/spreadsheets/d/1eHaY18a8A9IcSdp1K8H6x8fbOy06t2VsZHhMHf-1x7Y/edit?usp=sharing"",""แผน!FS85"")"),20)</f>
        <v>20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IFERROR(__xludf.DUMMYFUNCTION("IMPORTRANGE(""https://docs.google.com/spreadsheets/d/1eHaY18a8A9IcSdp1K8H6x8fbOy06t2VsZHhMHf-1x7Y/edit?usp=sharing"",""แผน!FT85"")"),20)</f>
        <v>20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IFERROR(__xludf.DUMMYFUNCTION("IMPORTRANGE(""https://docs.google.com/spreadsheets/d/10OvvATaaLtwErnr3qtWFcTmtbfpFEt5Bsqel9sXx0uE/edit?usp=sharing"",""งานกองทุน!D85"")"),1487596.33)</f>
        <v>1487596.33</v>
      </c>
      <c r="J779" s="152">
        <f ca="1">IFERROR(__xludf.DUMMYFUNCTION("IMPORTRANGE(""https://docs.google.com/spreadsheets/d/10OvvATaaLtwErnr3qtWFcTmtbfpFEt5Bsqel9sXx0uE/edit?usp=sharing"",""งานกองทุน!F85"")"),582396.7)</f>
        <v>582396.69999999995</v>
      </c>
      <c r="K779" s="46">
        <f t="shared" ref="K779:K786" ca="1" si="465">IF(I779&gt;0,J779*100/I779,0)</f>
        <v>39.150183974976592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IFERROR(__xludf.DUMMYFUNCTION("IMPORTRANGE(""https://docs.google.com/spreadsheets/d/10OvvATaaLtwErnr3qtWFcTmtbfpFEt5Bsqel9sXx0uE/edit?usp=sharing"",""งานกองทุน!C85"")"),156)</f>
        <v>156</v>
      </c>
      <c r="J780" s="152">
        <f ca="1">IFERROR(__xludf.DUMMYFUNCTION("IMPORTRANGE(""https://docs.google.com/spreadsheets/d/10OvvATaaLtwErnr3qtWFcTmtbfpFEt5Bsqel9sXx0uE/edit?usp=sharing"",""งานกองทุน!E85"")"),63)</f>
        <v>63</v>
      </c>
      <c r="K780" s="46">
        <f t="shared" ca="1" si="465"/>
        <v>40.384615384615387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1" s="152">
        <f ca="1">IFERROR(__xludf.DUMMYFUNCTION("IMPORTRANGE(""https://docs.google.com/spreadsheets/d/10OvvATaaLtwErnr3qtWFcTmtbfpFEt5Bsqel9sXx0uE/edit?usp=sharing"",""งานกองทุน!K85"")"),82404.2)</f>
        <v>82404.2</v>
      </c>
      <c r="K781" s="46">
        <f t="shared" ca="1" si="465"/>
        <v>5.2254702769156438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IFERROR(__xludf.DUMMYFUNCTION("IMPORTRANGE(""https://docs.google.com/spreadsheets/d/10OvvATaaLtwErnr3qtWFcTmtbfpFEt5Bsqel9sXx0uE/edit?usp=sharing"",""งานกองทุน!H85"")"),99)</f>
        <v>99</v>
      </c>
      <c r="J782" s="152">
        <f ca="1">IFERROR(__xludf.DUMMYFUNCTION("IMPORTRANGE(""https://docs.google.com/spreadsheets/d/10OvvATaaLtwErnr3qtWFcTmtbfpFEt5Bsqel9sXx0uE/edit?usp=sharing"",""งานกองทุน!J85"")"),9)</f>
        <v>9</v>
      </c>
      <c r="K782" s="46">
        <f t="shared" ca="1" si="465"/>
        <v>9.0909090909090917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IFERROR(__xludf.DUMMYFUNCTION("IMPORTRANGE(""https://docs.google.com/spreadsheets/d/10OvvATaaLtwErnr3qtWFcTmtbfpFEt5Bsqel9sXx0uE/edit?usp=sharing"",""งานกองทุน!N85"")"),0)</f>
        <v>0</v>
      </c>
      <c r="J783" s="152">
        <f ca="1">IFERROR(__xludf.DUMMYFUNCTION("IMPORTRANGE(""https://docs.google.com/spreadsheets/d/10OvvATaaLtwErnr3qtWFcTmtbfpFEt5Bsqel9sXx0uE/edit?usp=sharing"",""งานกองทุน!P85"")"),0)</f>
        <v>0</v>
      </c>
      <c r="K783" s="46">
        <f t="shared" ca="1" si="465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IFERROR(__xludf.DUMMYFUNCTION("IMPORTRANGE(""https://docs.google.com/spreadsheets/d/10OvvATaaLtwErnr3qtWFcTmtbfpFEt5Bsqel9sXx0uE/edit?usp=sharing"",""งานกองทุน!M85"")"),0)</f>
        <v>0</v>
      </c>
      <c r="J784" s="152">
        <f ca="1">IFERROR(__xludf.DUMMYFUNCTION("IMPORTRANGE(""https://docs.google.com/spreadsheets/d/10OvvATaaLtwErnr3qtWFcTmtbfpFEt5Bsqel9sXx0uE/edit?usp=sharing"",""งานกองทุน!O85"")"),0)</f>
        <v>0</v>
      </c>
      <c r="K784" s="46">
        <f t="shared" ca="1" si="465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IFERROR(__xludf.DUMMYFUNCTION("IMPORTRANGE(""https://docs.google.com/spreadsheets/d/10OvvATaaLtwErnr3qtWFcTmtbfpFEt5Bsqel9sXx0uE/edit?usp=sharing"",""งานกองทุน!S85"")"),1288000)</f>
        <v>1288000</v>
      </c>
      <c r="J785" s="152">
        <f ca="1">IFERROR(__xludf.DUMMYFUNCTION("IMPORTRANGE(""https://docs.google.com/spreadsheets/d/10OvvATaaLtwErnr3qtWFcTmtbfpFEt5Bsqel9sXx0uE/edit?usp=sharing"",""งานกองทุน!U85"")"),0)</f>
        <v>0</v>
      </c>
      <c r="K785" s="46">
        <f t="shared" ca="1" si="465"/>
        <v>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IFERROR(__xludf.DUMMYFUNCTION("IMPORTRANGE(""https://docs.google.com/spreadsheets/d/10OvvATaaLtwErnr3qtWFcTmtbfpFEt5Bsqel9sXx0uE/edit?usp=sharing"",""งานกองทุน!R85"")"),46)</f>
        <v>46</v>
      </c>
      <c r="J786" s="204">
        <f ca="1">IFERROR(__xludf.DUMMYFUNCTION("IMPORTRANGE(""https://docs.google.com/spreadsheets/d/10OvvATaaLtwErnr3qtWFcTmtbfpFEt5Bsqel9sXx0uE/edit?usp=sharing"",""งานกองทุน!T85"")"),0)</f>
        <v>0</v>
      </c>
      <c r="K786" s="110">
        <f t="shared" ca="1" si="465"/>
        <v>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2" fitToHeight="0" orientation="portrait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787E1-6541-4F33-9888-141642C5F528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1899835</v>
      </c>
      <c r="M19" s="34">
        <f t="shared" ca="1" si="0"/>
        <v>2239744</v>
      </c>
      <c r="N19" s="34">
        <f t="shared" ca="1" si="0"/>
        <v>1689067.2000000002</v>
      </c>
      <c r="O19" s="34">
        <f t="shared" ref="O19:O27" ca="1" si="1">IF(L19&gt;0,N19*100/L19,0)</f>
        <v>88.905994467940658</v>
      </c>
      <c r="P19" s="34">
        <f t="shared" ref="P19:P27" ca="1" si="2">IF(M19&gt;0,N19*100/M19,0)</f>
        <v>75.413404389073051</v>
      </c>
      <c r="Q19" s="34">
        <f t="shared" ref="Q19:S19" ca="1" si="3">Q20+Q21</f>
        <v>1859979.22</v>
      </c>
      <c r="R19" s="34">
        <f t="shared" ca="1" si="3"/>
        <v>1797479</v>
      </c>
      <c r="S19" s="34">
        <f t="shared" ca="1" si="3"/>
        <v>229850</v>
      </c>
      <c r="T19" s="34">
        <f t="shared" ref="T19:T27" ca="1" si="4">IF(Q19&gt;0,S19*100/Q19,0)</f>
        <v>12.357664942084675</v>
      </c>
      <c r="U19" s="34">
        <f t="shared" ref="U19:U27" ca="1" si="5">IF(R19&gt;0,S19*100/R19,0)</f>
        <v>12.78735384391139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1899835</v>
      </c>
      <c r="M21" s="38">
        <f t="shared" ca="1" si="6"/>
        <v>2239744</v>
      </c>
      <c r="N21" s="38">
        <f t="shared" ca="1" si="6"/>
        <v>1689067.2000000002</v>
      </c>
      <c r="O21" s="38">
        <f t="shared" ca="1" si="1"/>
        <v>88.905994467940658</v>
      </c>
      <c r="P21" s="38">
        <f t="shared" ca="1" si="2"/>
        <v>75.413404389073051</v>
      </c>
      <c r="Q21" s="38">
        <f t="shared" ca="1" si="7"/>
        <v>1859979.22</v>
      </c>
      <c r="R21" s="38">
        <f t="shared" ca="1" si="7"/>
        <v>1797479</v>
      </c>
      <c r="S21" s="38">
        <f t="shared" ca="1" si="7"/>
        <v>229850</v>
      </c>
      <c r="T21" s="38">
        <f t="shared" ca="1" si="4"/>
        <v>12.357664942084675</v>
      </c>
      <c r="U21" s="38">
        <f t="shared" ca="1" si="5"/>
        <v>12.78735384391139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1899835</v>
      </c>
      <c r="M22" s="46">
        <f t="shared" ca="1" si="8"/>
        <v>2239744</v>
      </c>
      <c r="N22" s="46">
        <f t="shared" ca="1" si="8"/>
        <v>1689067.2000000002</v>
      </c>
      <c r="O22" s="46">
        <f t="shared" ca="1" si="1"/>
        <v>88.905994467940658</v>
      </c>
      <c r="P22" s="46">
        <f t="shared" ca="1" si="2"/>
        <v>75.413404389073051</v>
      </c>
      <c r="Q22" s="46">
        <f t="shared" ref="Q22:S22" ca="1" si="9">Q23+Q24</f>
        <v>1859979.22</v>
      </c>
      <c r="R22" s="46">
        <f t="shared" ca="1" si="9"/>
        <v>1797479</v>
      </c>
      <c r="S22" s="46">
        <f t="shared" ca="1" si="9"/>
        <v>229850</v>
      </c>
      <c r="T22" s="46">
        <f t="shared" ca="1" si="4"/>
        <v>12.357664942084675</v>
      </c>
      <c r="U22" s="46">
        <f t="shared" ca="1" si="5"/>
        <v>12.78735384391139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1899835</v>
      </c>
      <c r="M24" s="46">
        <f t="shared" ca="1" si="10"/>
        <v>2239744</v>
      </c>
      <c r="N24" s="46">
        <f t="shared" ca="1" si="10"/>
        <v>1689067.2000000002</v>
      </c>
      <c r="O24" s="46">
        <f t="shared" ca="1" si="1"/>
        <v>88.905994467940658</v>
      </c>
      <c r="P24" s="46">
        <f t="shared" ca="1" si="2"/>
        <v>75.413404389073051</v>
      </c>
      <c r="Q24" s="46">
        <f t="shared" ca="1" si="11"/>
        <v>1859979.22</v>
      </c>
      <c r="R24" s="46">
        <f t="shared" ca="1" si="11"/>
        <v>1797479</v>
      </c>
      <c r="S24" s="46">
        <f t="shared" ca="1" si="11"/>
        <v>229850</v>
      </c>
      <c r="T24" s="46">
        <f t="shared" ca="1" si="4"/>
        <v>12.357664942084675</v>
      </c>
      <c r="U24" s="46">
        <f t="shared" ca="1" si="5"/>
        <v>12.78735384391139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1899835</v>
      </c>
      <c r="M41" s="525">
        <f t="shared" ca="1" si="16"/>
        <v>2239744</v>
      </c>
      <c r="N41" s="525">
        <f t="shared" ca="1" si="16"/>
        <v>1689067.2000000002</v>
      </c>
      <c r="O41" s="525">
        <f ca="1">IF(L41&gt;0,N41*100/L41,0)</f>
        <v>88.905994467940658</v>
      </c>
      <c r="P41" s="525">
        <f ca="1">IF(M41&gt;0,N41*100/M41,0)</f>
        <v>75.413404389073051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396500</v>
      </c>
      <c r="M45" s="78">
        <f t="shared" ca="1" si="17"/>
        <v>530249</v>
      </c>
      <c r="N45" s="78">
        <f t="shared" ca="1" si="17"/>
        <v>393526</v>
      </c>
      <c r="O45" s="78">
        <f t="shared" ref="O45:O53" ca="1" si="18">IF(L45&gt;0,N45*100/L45,0)</f>
        <v>99.249936948297602</v>
      </c>
      <c r="P45" s="78">
        <f t="shared" ref="P45:P53" ca="1" si="19">IF(M45&gt;0,N45*100/M45,0)</f>
        <v>74.215321481040036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396500</v>
      </c>
      <c r="M47" s="82">
        <f t="shared" ca="1" si="23"/>
        <v>530249</v>
      </c>
      <c r="N47" s="82">
        <f t="shared" ca="1" si="23"/>
        <v>393526</v>
      </c>
      <c r="O47" s="82">
        <f t="shared" ca="1" si="18"/>
        <v>99.249936948297602</v>
      </c>
      <c r="P47" s="82">
        <f t="shared" ca="1" si="19"/>
        <v>74.215321481040036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396500</v>
      </c>
      <c r="M48" s="46">
        <f t="shared" ca="1" si="25"/>
        <v>530249</v>
      </c>
      <c r="N48" s="46">
        <f t="shared" ca="1" si="25"/>
        <v>393526</v>
      </c>
      <c r="O48" s="46">
        <f t="shared" ca="1" si="18"/>
        <v>99.249936948297602</v>
      </c>
      <c r="P48" s="46">
        <f t="shared" ca="1" si="19"/>
        <v>74.215321481040036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IFERROR(__xludf.DUMMYFUNCTION("IMPORTRANGE(""https://docs.google.com/spreadsheets/d/1-uDff_7J0KD5mKrp0Vvzr7lt3OU09vwQwhkpOPPYv2Y/edit?usp=sharing"",""งบพรบ!P86"")"),396500)</f>
        <v>396500</v>
      </c>
      <c r="M50" s="46">
        <f ca="1">IFERROR(__xludf.DUMMYFUNCTION("IMPORTRANGE(""https://docs.google.com/spreadsheets/d/1-uDff_7J0KD5mKrp0Vvzr7lt3OU09vwQwhkpOPPYv2Y/edit?usp=sharing"",""งบพรบ!V86"")"),530249)</f>
        <v>530249</v>
      </c>
      <c r="N50" s="46">
        <f ca="1">IFERROR(__xludf.DUMMYFUNCTION("IMPORTRANGE(""https://docs.google.com/spreadsheets/d/1-uDff_7J0KD5mKrp0Vvzr7lt3OU09vwQwhkpOPPYv2Y/edit?usp=sharing"",""งบพรบ!Y86"")"),393526)</f>
        <v>393526</v>
      </c>
      <c r="O50" s="46">
        <f t="shared" ca="1" si="18"/>
        <v>99.249936948297602</v>
      </c>
      <c r="P50" s="46">
        <f t="shared" ca="1" si="19"/>
        <v>74.215321481040036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IFERROR(__xludf.DUMMYFUNCTION("IMPORTRANGE(""https://docs.google.com/spreadsheets/d/1-uDff_7J0KD5mKrp0Vvzr7lt3OU09vwQwhkpOPPYv2Y/edit?usp=sharing"",""งบพรบ!S86"")"),0)</f>
        <v>0</v>
      </c>
      <c r="M53" s="46">
        <f ca="1">IFERROR(__xludf.DUMMYFUNCTION("IMPORTRANGE(""https://docs.google.com/spreadsheets/d/1-uDff_7J0KD5mKrp0Vvzr7lt3OU09vwQwhkpOPPYv2Y/edit?usp=sharing"",""งบพรบ!W86"")"),0)</f>
        <v>0</v>
      </c>
      <c r="N53" s="46">
        <f ca="1">IFERROR(__xludf.DUMMYFUNCTION("IMPORTRANGE(""https://docs.google.com/spreadsheets/d/1-uDff_7J0KD5mKrp0Vvzr7lt3OU09vwQwhkpOPPYv2Y/edit?usp=sharing"",""งบพรบ!Z86"")"),0)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459600</v>
      </c>
      <c r="M60" s="105">
        <f t="shared" ca="1" si="29"/>
        <v>672700</v>
      </c>
      <c r="N60" s="105">
        <f t="shared" ca="1" si="29"/>
        <v>602961.47</v>
      </c>
      <c r="O60" s="105">
        <f t="shared" ref="O60:O68" ca="1" si="30">IF(L60&gt;0,N60*100/L60,0)</f>
        <v>131.19266100957356</v>
      </c>
      <c r="P60" s="105">
        <f t="shared" ref="P60:P68" ca="1" si="31">IF(M60&gt;0,N60*100/M60,0)</f>
        <v>89.633041474654377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459600</v>
      </c>
      <c r="M62" s="108">
        <f t="shared" ca="1" si="35"/>
        <v>672700</v>
      </c>
      <c r="N62" s="108">
        <f t="shared" ca="1" si="35"/>
        <v>602961.47</v>
      </c>
      <c r="O62" s="108">
        <f t="shared" ca="1" si="30"/>
        <v>131.19266100957356</v>
      </c>
      <c r="P62" s="108">
        <f t="shared" ca="1" si="31"/>
        <v>89.633041474654377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459600</v>
      </c>
      <c r="M63" s="46">
        <f t="shared" ca="1" si="37"/>
        <v>672700</v>
      </c>
      <c r="N63" s="46">
        <f t="shared" ca="1" si="37"/>
        <v>602961.47</v>
      </c>
      <c r="O63" s="46">
        <f t="shared" ca="1" si="30"/>
        <v>131.19266100957356</v>
      </c>
      <c r="P63" s="46">
        <f t="shared" ca="1" si="31"/>
        <v>89.633041474654377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IFERROR(__xludf.DUMMYFUNCTION("IMPORTRANGE(""https://docs.google.com/spreadsheets/d/1-uDff_7J0KD5mKrp0Vvzr7lt3OU09vwQwhkpOPPYv2Y/edit?usp=sharing"",""งบพรบ!AC86"")"),459600)</f>
        <v>459600</v>
      </c>
      <c r="M65" s="46">
        <f ca="1">IFERROR(__xludf.DUMMYFUNCTION("IMPORTRANGE(""https://docs.google.com/spreadsheets/d/1-uDff_7J0KD5mKrp0Vvzr7lt3OU09vwQwhkpOPPYv2Y/edit?usp=sharing"",""งบพรบ!AH86"")"),672700)</f>
        <v>672700</v>
      </c>
      <c r="N65" s="46">
        <f ca="1">IFERROR(__xludf.DUMMYFUNCTION("IMPORTRANGE(""https://docs.google.com/spreadsheets/d/1-uDff_7J0KD5mKrp0Vvzr7lt3OU09vwQwhkpOPPYv2Y/edit?usp=sharing"",""งบพรบ!AJ86"")"),602961.47)</f>
        <v>602961.47</v>
      </c>
      <c r="O65" s="46">
        <f t="shared" ca="1" si="30"/>
        <v>131.19266100957356</v>
      </c>
      <c r="P65" s="46">
        <f t="shared" ca="1" si="31"/>
        <v>89.633041474654377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IFERROR(__xludf.DUMMYFUNCTION("IMPORTRANGE(""https://docs.google.com/spreadsheets/d/1-uDff_7J0KD5mKrp0Vvzr7lt3OU09vwQwhkpOPPYv2Y/edit?usp=sharing"",""งบพรบ!AF86"")"),0)</f>
        <v>0</v>
      </c>
      <c r="M68" s="110">
        <f ca="1">IFERROR(__xludf.DUMMYFUNCTION("IMPORTRANGE(""https://docs.google.com/spreadsheets/d/1-uDff_7J0KD5mKrp0Vvzr7lt3OU09vwQwhkpOPPYv2Y/edit?usp=sharing"",""งบพรบ!AI86"")"),0)</f>
        <v>0</v>
      </c>
      <c r="N68" s="110">
        <f ca="1">IFERROR(__xludf.DUMMYFUNCTION("IMPORTRANGE(""https://docs.google.com/spreadsheets/d/1-uDff_7J0KD5mKrp0Vvzr7lt3OU09vwQwhkpOPPYv2Y/edit?usp=sharing"",""งบพรบ!AK86"")"),0)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IFERROR(__xludf.DUMMYFUNCTION("IMPORTRANGE(""https://docs.google.com/spreadsheets/d/1-uDff_7J0KD5mKrp0Vvzr7lt3OU09vwQwhkpOPPYv2Y/edit?usp=sharing"",""งบพรบ!AM86"")"),0)</f>
        <v>0</v>
      </c>
      <c r="M78" s="46">
        <f ca="1">IFERROR(__xludf.DUMMYFUNCTION("IMPORTRANGE(""https://docs.google.com/spreadsheets/d/1-uDff_7J0KD5mKrp0Vvzr7lt3OU09vwQwhkpOPPYv2Y/edit?usp=sharing"",""งบพรบ!AR86"")"),0)</f>
        <v>0</v>
      </c>
      <c r="N78" s="46">
        <f ca="1">IFERROR(__xludf.DUMMYFUNCTION("IMPORTRANGE(""https://docs.google.com/spreadsheets/d/1-uDff_7J0KD5mKrp0Vvzr7lt3OU09vwQwhkpOPPYv2Y/edit?usp=sharing"",""งบพรบ!AT86"")"),0)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IFERROR(__xludf.DUMMYFUNCTION("IMPORTRANGE(""https://docs.google.com/spreadsheets/d/1ItG2mGa2ceCfYo0BwxsXqNm01IGEUdYcSSLTEv9YCik/edit?usp=sharing"",""เบิกจ่ายกองทุน!AS86"")"),0)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IFERROR(__xludf.DUMMYFUNCTION("IMPORTRANGE(""https://docs.google.com/spreadsheets/d/1ItG2mGa2ceCfYo0BwxsXqNm01IGEUdYcSSLTEv9YCik/edit?usp=sharing"",""เบิกจ่ายกองทุน!AT86"")"),0)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IFERROR(__xludf.DUMMYFUNCTION("IMPORTRANGE(""https://docs.google.com/spreadsheets/d/1ItG2mGa2ceCfYo0BwxsXqNm01IGEUdYcSSLTEv9YCik/edit?usp=sharing"",""เบิกจ่ายกองทุน!AU86"")"),0)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IFERROR(__xludf.DUMMYFUNCTION("IMPORTRANGE(""https://docs.google.com/spreadsheets/d/1-uDff_7J0KD5mKrp0Vvzr7lt3OU09vwQwhkpOPPYv2Y/edit?usp=sharing"",""งบพรบ!AP86"")"),0)</f>
        <v>0</v>
      </c>
      <c r="M81" s="46">
        <f ca="1">IFERROR(__xludf.DUMMYFUNCTION("IMPORTRANGE(""https://docs.google.com/spreadsheets/d/1-uDff_7J0KD5mKrp0Vvzr7lt3OU09vwQwhkpOPPYv2Y/edit?usp=sharing"",""งบพรบ!AS86"")"),0)</f>
        <v>0</v>
      </c>
      <c r="N81" s="46">
        <f ca="1">IFERROR(__xludf.DUMMYFUNCTION("IMPORTRANGE(""https://docs.google.com/spreadsheets/d/1-uDff_7J0KD5mKrp0Vvzr7lt3OU09vwQwhkpOPPYv2Y/edit?usp=sharing"",""งบพรบ!AU86"")"),0)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IFERROR(__xludf.DUMMYFUNCTION("IMPORTRANGE(""https://docs.google.com/spreadsheets/d/1eHaY18a8A9IcSdp1K8H6x8fbOy06t2VsZHhMHf-1x7Y/edit?usp=sharing"",""แผน!H86"")"),0)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IFERROR(__xludf.DUMMYFUNCTION("IMPORTRANGE(""https://docs.google.com/spreadsheets/d/1eHaY18a8A9IcSdp1K8H6x8fbOy06t2VsZHhMHf-1x7Y/edit?usp=sharing"",""แผน!I86"")"),0)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IFERROR(__xludf.DUMMYFUNCTION("IMPORTRANGE(""https://docs.google.com/spreadsheets/d/1eHaY18a8A9IcSdp1K8H6x8fbOy06t2VsZHhMHf-1x7Y/edit?usp=sharing"",""แผน!F86"")"),0)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IFERROR(__xludf.DUMMYFUNCTION("IMPORTRANGE(""https://docs.google.com/spreadsheets/d/1eHaY18a8A9IcSdp1K8H6x8fbOy06t2VsZHhMHf-1x7Y/edit?usp=sharing"",""แผน!G86"")"),0)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IFERROR(__xludf.DUMMYFUNCTION("IMPORTRANGE(""https://docs.google.com/spreadsheets/d/1eHaY18a8A9IcSdp1K8H6x8fbOy06t2VsZHhMHf-1x7Y/edit?usp=sharing"",""แผน!D86"")"),0)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IFERROR(__xludf.DUMMYFUNCTION("IMPORTRANGE(""https://docs.google.com/spreadsheets/d/1eHaY18a8A9IcSdp1K8H6x8fbOy06t2VsZHhMHf-1x7Y/edit?usp=sharing"",""แผน!E86"")"),0)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IFERROR(__xludf.DUMMYFUNCTION("IMPORTRANGE(""https://docs.google.com/spreadsheets/d/1eHaY18a8A9IcSdp1K8H6x8fbOy06t2VsZHhMHf-1x7Y/edit?usp=sharing"",""แผน!J86"")"),0)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87</v>
      </c>
      <c r="J93" s="127">
        <f t="shared" si="57"/>
        <v>87</v>
      </c>
      <c r="K93" s="34">
        <f t="shared" ref="K93:K94" ca="1" si="58">IF(I93&gt;0,J93*100/I93,0)</f>
        <v>100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29</v>
      </c>
      <c r="J94" s="127">
        <f t="shared" si="57"/>
        <v>29</v>
      </c>
      <c r="K94" s="34">
        <f t="shared" ca="1" si="58"/>
        <v>100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244818</v>
      </c>
      <c r="R95" s="132">
        <f t="shared" ca="1" si="62"/>
        <v>244818</v>
      </c>
      <c r="S95" s="132">
        <f t="shared" ca="1" si="62"/>
        <v>13550</v>
      </c>
      <c r="T95" s="132">
        <f t="shared" ref="T95:T103" ca="1" si="63">IF(Q95&gt;0,S95*100/Q95,0)</f>
        <v>5.5347237539723384</v>
      </c>
      <c r="U95" s="132">
        <f t="shared" ref="U95:U103" ca="1" si="64">IF(R95&gt;0,S95*100/R95,0)</f>
        <v>5.5347237539723384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244818</v>
      </c>
      <c r="R97" s="46">
        <f t="shared" ca="1" si="66"/>
        <v>244818</v>
      </c>
      <c r="S97" s="46">
        <f t="shared" ca="1" si="66"/>
        <v>13550</v>
      </c>
      <c r="T97" s="46">
        <f t="shared" ca="1" si="63"/>
        <v>5.5347237539723384</v>
      </c>
      <c r="U97" s="46">
        <f t="shared" ca="1" si="64"/>
        <v>5.5347237539723384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244818</v>
      </c>
      <c r="R98" s="46">
        <f t="shared" ca="1" si="68"/>
        <v>244818</v>
      </c>
      <c r="S98" s="46">
        <f t="shared" ca="1" si="68"/>
        <v>13550</v>
      </c>
      <c r="T98" s="46">
        <f t="shared" ca="1" si="63"/>
        <v>5.5347237539723384</v>
      </c>
      <c r="U98" s="46">
        <f t="shared" ca="1" si="64"/>
        <v>5.5347237539723384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IFERROR(__xludf.DUMMYFUNCTION("IMPORTRANGE(""https://docs.google.com/spreadsheets/d/1-uDff_7J0KD5mKrp0Vvzr7lt3OU09vwQwhkpOPPYv2Y/edit?usp=sharing"",""งบพรบ!AW86"")"),0)</f>
        <v>0</v>
      </c>
      <c r="M100" s="46">
        <f ca="1">IFERROR(__xludf.DUMMYFUNCTION("IMPORTRANGE(""https://docs.google.com/spreadsheets/d/1-uDff_7J0KD5mKrp0Vvzr7lt3OU09vwQwhkpOPPYv2Y/edit?usp=sharing"",""งบพรบ!BB86"")"),0)</f>
        <v>0</v>
      </c>
      <c r="N100" s="46">
        <f ca="1">IFERROR(__xludf.DUMMYFUNCTION("IMPORTRANGE(""https://docs.google.com/spreadsheets/d/1-uDff_7J0KD5mKrp0Vvzr7lt3OU09vwQwhkpOPPYv2Y/edit?usp=sharing"",""งบพรบ!BD86"")"),0)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IFERROR(__xludf.DUMMYFUNCTION("IMPORTRANGE(""https://docs.google.com/spreadsheets/d/1ItG2mGa2ceCfYo0BwxsXqNm01IGEUdYcSSLTEv9YCik/edit?usp=sharing"",""เบิกจ่ายกองทุน!AD86"")"),244818)</f>
        <v>244818</v>
      </c>
      <c r="R100" s="46">
        <f ca="1">IFERROR(__xludf.DUMMYFUNCTION("IMPORTRANGE(""https://docs.google.com/spreadsheets/d/1ItG2mGa2ceCfYo0BwxsXqNm01IGEUdYcSSLTEv9YCik/edit?usp=sharing"",""เบิกจ่ายกองทุน!AE86"")"),244818)</f>
        <v>244818</v>
      </c>
      <c r="S100" s="46">
        <f ca="1">IFERROR(__xludf.DUMMYFUNCTION("IMPORTRANGE(""https://docs.google.com/spreadsheets/d/1ItG2mGa2ceCfYo0BwxsXqNm01IGEUdYcSSLTEv9YCik/edit?usp=sharing"",""เบิกจ่ายกองทุน!AF86"")"),13550)</f>
        <v>13550</v>
      </c>
      <c r="T100" s="46">
        <f t="shared" ca="1" si="63"/>
        <v>5.5347237539723384</v>
      </c>
      <c r="U100" s="46">
        <f t="shared" ca="1" si="64"/>
        <v>5.5347237539723384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IFERROR(__xludf.DUMMYFUNCTION("IMPORTRANGE(""https://docs.google.com/spreadsheets/d/1-uDff_7J0KD5mKrp0Vvzr7lt3OU09vwQwhkpOPPYv2Y/edit?usp=sharing"",""งบพรบ!AZ86"")"),0)</f>
        <v>0</v>
      </c>
      <c r="M103" s="46">
        <f ca="1">IFERROR(__xludf.DUMMYFUNCTION("IMPORTRANGE(""https://docs.google.com/spreadsheets/d/1-uDff_7J0KD5mKrp0Vvzr7lt3OU09vwQwhkpOPPYv2Y/edit?usp=sharing"",""งบพรบ!BC86"")"),0)</f>
        <v>0</v>
      </c>
      <c r="N103" s="46">
        <f ca="1">IFERROR(__xludf.DUMMYFUNCTION("IMPORTRANGE(""https://docs.google.com/spreadsheets/d/1-uDff_7J0KD5mKrp0Vvzr7lt3OU09vwQwhkpOPPYv2Y/edit?usp=sharing"",""งบพรบ!BE86"")"),0)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IFERROR(__xludf.DUMMYFUNCTION("IMPORTRANGE(""https://docs.google.com/spreadsheets/d/1eHaY18a8A9IcSdp1K8H6x8fbOy06t2VsZHhMHf-1x7Y/edit?usp=sharing"",""แผน!N86"")"),87)</f>
        <v>87</v>
      </c>
      <c r="J109" s="168">
        <v>87</v>
      </c>
      <c r="K109" s="46">
        <f t="shared" ref="K109:K110" ca="1" si="71">IF(I109&gt;0,J109*100/I109,0)</f>
        <v>100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IFERROR(__xludf.DUMMYFUNCTION("IMPORTRANGE(""https://docs.google.com/spreadsheets/d/1eHaY18a8A9IcSdp1K8H6x8fbOy06t2VsZHhMHf-1x7Y/edit?usp=sharing"",""แผน!O86"")"),29)</f>
        <v>29</v>
      </c>
      <c r="J110" s="168">
        <v>29</v>
      </c>
      <c r="K110" s="46">
        <f t="shared" ca="1" si="71"/>
        <v>100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IFERROR(__xludf.DUMMYFUNCTION("IMPORTRANGE(""https://docs.google.com/spreadsheets/d/1eHaY18a8A9IcSdp1K8H6x8fbOy06t2VsZHhMHf-1x7Y/edit?usp=sharing"",""แผน!N86"")"),87)</f>
        <v>87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IFERROR(__xludf.DUMMYFUNCTION("IMPORTRANGE(""https://docs.google.com/spreadsheets/d/1eHaY18a8A9IcSdp1K8H6x8fbOy06t2VsZHhMHf-1x7Y/edit?usp=sharing"",""แผน!O86"")"),29)</f>
        <v>29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20</v>
      </c>
      <c r="J117" s="127">
        <f t="shared" si="73"/>
        <v>20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209360</v>
      </c>
      <c r="R118" s="132">
        <f t="shared" ca="1" si="77"/>
        <v>209360</v>
      </c>
      <c r="S118" s="132">
        <f t="shared" ca="1" si="77"/>
        <v>66650</v>
      </c>
      <c r="T118" s="132">
        <f t="shared" ref="T118:T126" ca="1" si="78">IF(Q118&gt;0,S118*100/Q118,0)</f>
        <v>31.835116545662974</v>
      </c>
      <c r="U118" s="132">
        <f t="shared" ref="U118:U126" ca="1" si="79">IF(R118&gt;0,S118*100/R118,0)</f>
        <v>31.835116545662974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209360</v>
      </c>
      <c r="R120" s="46">
        <f t="shared" ca="1" si="81"/>
        <v>209360</v>
      </c>
      <c r="S120" s="46">
        <f t="shared" ca="1" si="81"/>
        <v>66650</v>
      </c>
      <c r="T120" s="46">
        <f t="shared" ca="1" si="78"/>
        <v>31.835116545662974</v>
      </c>
      <c r="U120" s="46">
        <f t="shared" ca="1" si="79"/>
        <v>31.835116545662974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209360</v>
      </c>
      <c r="R121" s="46">
        <f t="shared" ca="1" si="83"/>
        <v>209360</v>
      </c>
      <c r="S121" s="46">
        <f t="shared" ca="1" si="83"/>
        <v>66650</v>
      </c>
      <c r="T121" s="46">
        <f t="shared" ca="1" si="78"/>
        <v>31.835116545662974</v>
      </c>
      <c r="U121" s="46">
        <f t="shared" ca="1" si="79"/>
        <v>31.835116545662974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IFERROR(__xludf.DUMMYFUNCTION("IMPORTRANGE(""https://docs.google.com/spreadsheets/d/1-uDff_7J0KD5mKrp0Vvzr7lt3OU09vwQwhkpOPPYv2Y/edit?usp=sharing"",""งบพรบ!BG86"")"),0)</f>
        <v>0</v>
      </c>
      <c r="M123" s="46">
        <f ca="1">IFERROR(__xludf.DUMMYFUNCTION("IMPORTRANGE(""https://docs.google.com/spreadsheets/d/1-uDff_7J0KD5mKrp0Vvzr7lt3OU09vwQwhkpOPPYv2Y/edit?usp=sharing"",""งบพรบ!BL86"")"),0)</f>
        <v>0</v>
      </c>
      <c r="N123" s="46">
        <f ca="1">IFERROR(__xludf.DUMMYFUNCTION("IMPORTRANGE(""https://docs.google.com/spreadsheets/d/1-uDff_7J0KD5mKrp0Vvzr7lt3OU09vwQwhkpOPPYv2Y/edit?usp=sharing"",""งบพรบ!BN86"")"),0)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IFERROR(__xludf.DUMMYFUNCTION("IMPORTRANGE(""https://docs.google.com/spreadsheets/d/1ItG2mGa2ceCfYo0BwxsXqNm01IGEUdYcSSLTEv9YCik/edit?usp=sharing"",""เบิกจ่ายกองทุน!R86"")"),209360)</f>
        <v>209360</v>
      </c>
      <c r="R123" s="46">
        <f ca="1">IFERROR(__xludf.DUMMYFUNCTION("IMPORTRANGE(""https://docs.google.com/spreadsheets/d/1ItG2mGa2ceCfYo0BwxsXqNm01IGEUdYcSSLTEv9YCik/edit?usp=sharing"",""เบิกจ่ายกองทุน!S86"")"),209360)</f>
        <v>209360</v>
      </c>
      <c r="S123" s="46">
        <f ca="1">IFERROR(__xludf.DUMMYFUNCTION("IMPORTRANGE(""https://docs.google.com/spreadsheets/d/1ItG2mGa2ceCfYo0BwxsXqNm01IGEUdYcSSLTEv9YCik/edit?usp=sharing"",""เบิกจ่ายกองทุน!T86"")"),66650)</f>
        <v>66650</v>
      </c>
      <c r="T123" s="46">
        <f t="shared" ca="1" si="78"/>
        <v>31.835116545662974</v>
      </c>
      <c r="U123" s="46">
        <f t="shared" ca="1" si="79"/>
        <v>31.835116545662974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IFERROR(__xludf.DUMMYFUNCTION("IMPORTRANGE(""https://docs.google.com/spreadsheets/d/1-uDff_7J0KD5mKrp0Vvzr7lt3OU09vwQwhkpOPPYv2Y/edit?usp=sharing"",""งบพรบ!BJ86"")"),0)</f>
        <v>0</v>
      </c>
      <c r="M126" s="46">
        <f ca="1">IFERROR(__xludf.DUMMYFUNCTION("IMPORTRANGE(""https://docs.google.com/spreadsheets/d/1-uDff_7J0KD5mKrp0Vvzr7lt3OU09vwQwhkpOPPYv2Y/edit?usp=sharing"",""งบพรบ!BM86"")"),0)</f>
        <v>0</v>
      </c>
      <c r="N126" s="46">
        <f ca="1">IFERROR(__xludf.DUMMYFUNCTION("IMPORTRANGE(""https://docs.google.com/spreadsheets/d/1-uDff_7J0KD5mKrp0Vvzr7lt3OU09vwQwhkpOPPYv2Y/edit?usp=sharing"",""งบพรบ!BO86"")"),0)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IFERROR(__xludf.DUMMYFUNCTION("IMPORTRANGE(""https://docs.google.com/spreadsheets/d/1eHaY18a8A9IcSdp1K8H6x8fbOy06t2VsZHhMHf-1x7Y/edit?usp=sharing"",""แผน!FF86"")"),20)</f>
        <v>20</v>
      </c>
      <c r="J128" s="168">
        <v>20</v>
      </c>
      <c r="K128" s="46">
        <f t="shared" ref="K128:K131" ca="1" si="86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IFERROR(__xludf.DUMMYFUNCTION("IMPORTRANGE(""https://docs.google.com/spreadsheets/d/1eHaY18a8A9IcSdp1K8H6x8fbOy06t2VsZHhMHf-1x7Y/edit?usp=sharing"",""แผน!FG86"")"),0)</f>
        <v>0</v>
      </c>
      <c r="J129" s="168">
        <v>1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IFERROR(__xludf.DUMMYFUNCTION("IMPORTRANGE(""https://docs.google.com/spreadsheets/d/1eHaY18a8A9IcSdp1K8H6x8fbOy06t2VsZHhMHf-1x7Y/edit?usp=sharing"",""แผน!FH86"")"),20)</f>
        <v>20</v>
      </c>
      <c r="J130" s="168">
        <v>20</v>
      </c>
      <c r="K130" s="46">
        <f t="shared" ca="1" si="86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IFERROR(__xludf.DUMMYFUNCTION("IMPORTRANGE(""https://docs.google.com/spreadsheets/d/1eHaY18a8A9IcSdp1K8H6x8fbOy06t2VsZHhMHf-1x7Y/edit?usp=sharing"",""แผน!FI86"")"),0)</f>
        <v>0</v>
      </c>
      <c r="J131" s="168">
        <v>1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0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10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1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23300</v>
      </c>
      <c r="M140" s="132">
        <f t="shared" ca="1" si="90"/>
        <v>18300</v>
      </c>
      <c r="N140" s="132">
        <f t="shared" ca="1" si="90"/>
        <v>0</v>
      </c>
      <c r="O140" s="132">
        <f t="shared" ref="O140:O148" ca="1" si="91">IF(L140&gt;0,N140*100/L140,0)</f>
        <v>0</v>
      </c>
      <c r="P140" s="132">
        <f t="shared" ref="P140:P148" ca="1" si="92">IF(M140&gt;0,N140*100/M140,0)</f>
        <v>0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23300</v>
      </c>
      <c r="M142" s="46">
        <f t="shared" ca="1" si="96"/>
        <v>18300</v>
      </c>
      <c r="N142" s="46">
        <f t="shared" ca="1" si="96"/>
        <v>0</v>
      </c>
      <c r="O142" s="46">
        <f t="shared" ca="1" si="91"/>
        <v>0</v>
      </c>
      <c r="P142" s="46">
        <f t="shared" ca="1" si="92"/>
        <v>0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23300</v>
      </c>
      <c r="M143" s="46">
        <f t="shared" ca="1" si="98"/>
        <v>18300</v>
      </c>
      <c r="N143" s="46">
        <f t="shared" ca="1" si="98"/>
        <v>0</v>
      </c>
      <c r="O143" s="46">
        <f t="shared" ca="1" si="91"/>
        <v>0</v>
      </c>
      <c r="P143" s="46">
        <f t="shared" ca="1" si="92"/>
        <v>0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IFERROR(__xludf.DUMMYFUNCTION("IMPORTRANGE(""https://docs.google.com/spreadsheets/d/1-uDff_7J0KD5mKrp0Vvzr7lt3OU09vwQwhkpOPPYv2Y/edit?usp=sharing"",""งบพรบ!BQ86"")"),23300)</f>
        <v>23300</v>
      </c>
      <c r="M145" s="46">
        <f ca="1">IFERROR(__xludf.DUMMYFUNCTION("IMPORTRANGE(""https://docs.google.com/spreadsheets/d/1-uDff_7J0KD5mKrp0Vvzr7lt3OU09vwQwhkpOPPYv2Y/edit?usp=sharing"",""งบพรบ!BV86"")"),18300)</f>
        <v>18300</v>
      </c>
      <c r="N145" s="46">
        <f ca="1">IFERROR(__xludf.DUMMYFUNCTION("IMPORTRANGE(""https://docs.google.com/spreadsheets/d/1-uDff_7J0KD5mKrp0Vvzr7lt3OU09vwQwhkpOPPYv2Y/edit?usp=sharing"",""งบพรบ!BX86"")"),0)</f>
        <v>0</v>
      </c>
      <c r="O145" s="46">
        <f t="shared" ca="1" si="91"/>
        <v>0</v>
      </c>
      <c r="P145" s="46">
        <f t="shared" ca="1" si="92"/>
        <v>0</v>
      </c>
      <c r="Q145" s="46">
        <f ca="1">IFERROR(__xludf.DUMMYFUNCTION("IMPORTRANGE(""https://docs.google.com/spreadsheets/d/1ItG2mGa2ceCfYo0BwxsXqNm01IGEUdYcSSLTEv9YCik/edit?usp=sharing"",""เบิกจ่ายกองทุน!BB86"")"),0)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IFERROR(__xludf.DUMMYFUNCTION("IMPORTRANGE(""https://docs.google.com/spreadsheets/d/1ItG2mGa2ceCfYo0BwxsXqNm01IGEUdYcSSLTEv9YCik/edit?usp=sharing"",""เบิกจ่ายกองทุน!BC86"")"),0)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IFERROR(__xludf.DUMMYFUNCTION("IMPORTRANGE(""https://docs.google.com/spreadsheets/d/1ItG2mGa2ceCfYo0BwxsXqNm01IGEUdYcSSLTEv9YCik/edit?usp=sharing"",""เบิกจ่ายกองทุน!BD86"")"),0)</f>
        <v>0</v>
      </c>
      <c r="T145" s="46">
        <f t="shared" ca="1" si="94"/>
        <v>0</v>
      </c>
      <c r="U145" s="46">
        <f t="shared" ca="1" si="95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IFERROR(__xludf.DUMMYFUNCTION("IMPORTRANGE(""https://docs.google.com/spreadsheets/d/1-uDff_7J0KD5mKrp0Vvzr7lt3OU09vwQwhkpOPPYv2Y/edit?usp=sharing"",""งบพรบ!BT86"")"),0)</f>
        <v>0</v>
      </c>
      <c r="M148" s="46">
        <f ca="1">IFERROR(__xludf.DUMMYFUNCTION("IMPORTRANGE(""https://docs.google.com/spreadsheets/d/1-uDff_7J0KD5mKrp0Vvzr7lt3OU09vwQwhkpOPPYv2Y/edit?usp=sharing"",""งบพรบ!BW86"")"),0)</f>
        <v>0</v>
      </c>
      <c r="N148" s="46">
        <f ca="1">IFERROR(__xludf.DUMMYFUNCTION("IMPORTRANGE(""https://docs.google.com/spreadsheets/d/1-uDff_7J0KD5mKrp0Vvzr7lt3OU09vwQwhkpOPPYv2Y/edit?usp=sharing"",""งบพรบ!BY86"")"),0)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IFERROR(__xludf.DUMMYFUNCTION("IMPORTRANGE(""https://docs.google.com/spreadsheets/d/1eHaY18a8A9IcSdp1K8H6x8fbOy06t2VsZHhMHf-1x7Y/edit?usp=sharing"",""แผน!U86"")"),0)</f>
        <v>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IFERROR(__xludf.DUMMYFUNCTION("IMPORTRANGE(""https://docs.google.com/spreadsheets/d/1eHaY18a8A9IcSdp1K8H6x8fbOy06t2VsZHhMHf-1x7Y/edit?usp=sharing"",""แผน!V86"")"),0)</f>
        <v>0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IFERROR(__xludf.DUMMYFUNCTION("IMPORTRANGE(""https://docs.google.com/spreadsheets/d/1eHaY18a8A9IcSdp1K8H6x8fbOy06t2VsZHhMHf-1x7Y/edit?usp=sharing"",""แผน!W86"")"),10)</f>
        <v>10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IFERROR(__xludf.DUMMYFUNCTION("IMPORTRANGE(""https://docs.google.com/spreadsheets/d/1eHaY18a8A9IcSdp1K8H6x8fbOy06t2VsZHhMHf-1x7Y/edit?usp=sharing"",""แผน!X86"")"),1)</f>
        <v>1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IFERROR(__xludf.DUMMYFUNCTION("IMPORTRANGE(""https://docs.google.com/spreadsheets/d/1eHaY18a8A9IcSdp1K8H6x8fbOy06t2VsZHhMHf-1x7Y/edit?usp=sharing"",""แผน!Y86"")"),0)</f>
        <v>0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I170</f>
        <v>0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0</v>
      </c>
      <c r="M158" s="132">
        <f t="shared" ca="1" si="104"/>
        <v>0</v>
      </c>
      <c r="N158" s="132">
        <f t="shared" ca="1" si="104"/>
        <v>0</v>
      </c>
      <c r="O158" s="132">
        <f t="shared" ref="O158:O166" ca="1" si="105">IF(L158&gt;0,N158*100/L158,0)</f>
        <v>0</v>
      </c>
      <c r="P158" s="132">
        <f t="shared" ref="P158:P166" ca="1" si="106">IF(M158&gt;0,N158*100/M158,0)</f>
        <v>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0</v>
      </c>
      <c r="M160" s="46">
        <f t="shared" ca="1" si="110"/>
        <v>0</v>
      </c>
      <c r="N160" s="46">
        <f t="shared" ca="1" si="110"/>
        <v>0</v>
      </c>
      <c r="O160" s="46">
        <f t="shared" ca="1" si="105"/>
        <v>0</v>
      </c>
      <c r="P160" s="46">
        <f t="shared" ca="1" si="106"/>
        <v>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0</v>
      </c>
      <c r="M161" s="46">
        <f t="shared" ca="1" si="112"/>
        <v>0</v>
      </c>
      <c r="N161" s="46">
        <f t="shared" ca="1" si="112"/>
        <v>0</v>
      </c>
      <c r="O161" s="46">
        <f t="shared" ca="1" si="105"/>
        <v>0</v>
      </c>
      <c r="P161" s="46">
        <f t="shared" ca="1" si="106"/>
        <v>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IFERROR(__xludf.DUMMYFUNCTION("IMPORTRANGE(""https://docs.google.com/spreadsheets/d/1-uDff_7J0KD5mKrp0Vvzr7lt3OU09vwQwhkpOPPYv2Y/edit?usp=sharing"",""งบพรบ!CA86"")"),0)</f>
        <v>0</v>
      </c>
      <c r="M163" s="46">
        <f ca="1">IFERROR(__xludf.DUMMYFUNCTION("IMPORTRANGE(""https://docs.google.com/spreadsheets/d/1-uDff_7J0KD5mKrp0Vvzr7lt3OU09vwQwhkpOPPYv2Y/edit?usp=sharing"",""งบพรบ!CF86"")"),0)</f>
        <v>0</v>
      </c>
      <c r="N163" s="46">
        <f ca="1">IFERROR(__xludf.DUMMYFUNCTION("IMPORTRANGE(""https://docs.google.com/spreadsheets/d/1-uDff_7J0KD5mKrp0Vvzr7lt3OU09vwQwhkpOPPYv2Y/edit?usp=sharing"",""งบพรบ!CH86"")"),0)</f>
        <v>0</v>
      </c>
      <c r="O163" s="46">
        <f t="shared" ca="1" si="105"/>
        <v>0</v>
      </c>
      <c r="P163" s="46">
        <f t="shared" ca="1" si="106"/>
        <v>0</v>
      </c>
      <c r="Q163" s="46">
        <f ca="1">IFERROR(__xludf.DUMMYFUNCTION("IMPORTRANGE(""https://docs.google.com/spreadsheets/d/1ItG2mGa2ceCfYo0BwxsXqNm01IGEUdYcSSLTEv9YCik/edit?usp=sharing"",""เบิกจ่ายกองทุน!AG86"")"),0)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IFERROR(__xludf.DUMMYFUNCTION("IMPORTRANGE(""https://docs.google.com/spreadsheets/d/1ItG2mGa2ceCfYo0BwxsXqNm01IGEUdYcSSLTEv9YCik/edit?usp=sharing"",""เบิกจ่ายกองทุน!AH86"")"),0)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IFERROR(__xludf.DUMMYFUNCTION("IMPORTRANGE(""https://docs.google.com/spreadsheets/d/1ItG2mGa2ceCfYo0BwxsXqNm01IGEUdYcSSLTEv9YCik/edit?usp=sharing"",""เบิกจ่ายกองทุน!AI86"")"),0)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IFERROR(__xludf.DUMMYFUNCTION("IMPORTRANGE(""https://docs.google.com/spreadsheets/d/1-uDff_7J0KD5mKrp0Vvzr7lt3OU09vwQwhkpOPPYv2Y/edit?usp=sharing"",""งบพรบ!CD86"")"),0)</f>
        <v>0</v>
      </c>
      <c r="M166" s="46">
        <f ca="1">IFERROR(__xludf.DUMMYFUNCTION("IMPORTRANGE(""https://docs.google.com/spreadsheets/d/1-uDff_7J0KD5mKrp0Vvzr7lt3OU09vwQwhkpOPPYv2Y/edit?usp=sharing"",""งบพรบ!CG86"")"),0)</f>
        <v>0</v>
      </c>
      <c r="N166" s="46">
        <f ca="1">IFERROR(__xludf.DUMMYFUNCTION("IMPORTRANGE(""https://docs.google.com/spreadsheets/d/1-uDff_7J0KD5mKrp0Vvzr7lt3OU09vwQwhkpOPPYv2Y/edit?usp=sharing"",""งบพรบ!CI86"")"),0)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IFERROR(__xludf.DUMMYFUNCTION("IMPORTRANGE(""https://docs.google.com/spreadsheets/d/1eHaY18a8A9IcSdp1K8H6x8fbOy06t2VsZHhMHf-1x7Y/edit?usp=sharing"",""แผน!Z86"")"),0)</f>
        <v>0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IFERROR(__xludf.DUMMYFUNCTION("IMPORTRANGE(""https://docs.google.com/spreadsheets/d/1eHaY18a8A9IcSdp1K8H6x8fbOy06t2VsZHhMHf-1x7Y/edit?usp=sharing"",""แผน!Z86"")"),0)</f>
        <v>0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IFERROR(__xludf.DUMMYFUNCTION("IMPORTRANGE(""https://docs.google.com/spreadsheets/d/1eHaY18a8A9IcSdp1K8H6x8fbOy06t2VsZHhMHf-1x7Y/edit?usp=sharing"",""แผน!Z86"")"),0)</f>
        <v>0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7</v>
      </c>
      <c r="J173" s="221">
        <f t="shared" si="117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19590</v>
      </c>
      <c r="M174" s="132">
        <f t="shared" ca="1" si="118"/>
        <v>40150</v>
      </c>
      <c r="N174" s="132">
        <f t="shared" ca="1" si="118"/>
        <v>39550</v>
      </c>
      <c r="O174" s="132">
        <f t="shared" ref="O174:O182" ca="1" si="119">IF(L174&gt;0,N174*100/L174,0)</f>
        <v>201.88871873404798</v>
      </c>
      <c r="P174" s="132">
        <f t="shared" ref="P174:P182" ca="1" si="120">IF(M174&gt;0,N174*100/M174,0)</f>
        <v>98.505603985056041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19590</v>
      </c>
      <c r="M176" s="46">
        <f t="shared" ca="1" si="124"/>
        <v>40150</v>
      </c>
      <c r="N176" s="46">
        <f t="shared" ca="1" si="124"/>
        <v>39550</v>
      </c>
      <c r="O176" s="46">
        <f t="shared" ca="1" si="119"/>
        <v>201.88871873404798</v>
      </c>
      <c r="P176" s="46">
        <f t="shared" ca="1" si="120"/>
        <v>98.505603985056041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19590</v>
      </c>
      <c r="M177" s="46">
        <f t="shared" ca="1" si="126"/>
        <v>40150</v>
      </c>
      <c r="N177" s="46">
        <f t="shared" ca="1" si="126"/>
        <v>39550</v>
      </c>
      <c r="O177" s="46">
        <f t="shared" ca="1" si="119"/>
        <v>201.88871873404798</v>
      </c>
      <c r="P177" s="46">
        <f t="shared" ca="1" si="120"/>
        <v>98.505603985056041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IFERROR(__xludf.DUMMYFUNCTION("IMPORTRANGE(""https://docs.google.com/spreadsheets/d/1-uDff_7J0KD5mKrp0Vvzr7lt3OU09vwQwhkpOPPYv2Y/edit?usp=sharing"",""งบพรบ!CK86"")"),19590)</f>
        <v>19590</v>
      </c>
      <c r="M179" s="46">
        <f ca="1">IFERROR(__xludf.DUMMYFUNCTION("IMPORTRANGE(""https://docs.google.com/spreadsheets/d/1-uDff_7J0KD5mKrp0Vvzr7lt3OU09vwQwhkpOPPYv2Y/edit?usp=sharing"",""งบพรบ!CP86"")"),40150)</f>
        <v>40150</v>
      </c>
      <c r="N179" s="46">
        <f ca="1">IFERROR(__xludf.DUMMYFUNCTION("IMPORTRANGE(""https://docs.google.com/spreadsheets/d/1-uDff_7J0KD5mKrp0Vvzr7lt3OU09vwQwhkpOPPYv2Y/edit?usp=sharing"",""งบพรบ!CR86"")"),39550)</f>
        <v>39550</v>
      </c>
      <c r="O179" s="46">
        <f t="shared" ca="1" si="119"/>
        <v>201.88871873404798</v>
      </c>
      <c r="P179" s="46">
        <f t="shared" ca="1" si="120"/>
        <v>98.505603985056041</v>
      </c>
      <c r="Q179" s="46">
        <f ca="1">IFERROR(__xludf.DUMMYFUNCTION("IMPORTRANGE(""https://docs.google.com/spreadsheets/d/1ItG2mGa2ceCfYo0BwxsXqNm01IGEUdYcSSLTEv9YCik/edit?usp=sharing"",""เบิกจ่ายกองทุน!BE86"")"),0)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IFERROR(__xludf.DUMMYFUNCTION("IMPORTRANGE(""https://docs.google.com/spreadsheets/d/1ItG2mGa2ceCfYo0BwxsXqNm01IGEUdYcSSLTEv9YCik/edit?usp=sharing"",""เบิกจ่ายกองทุน!BF86"")"),0)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IFERROR(__xludf.DUMMYFUNCTION("IMPORTRANGE(""https://docs.google.com/spreadsheets/d/1ItG2mGa2ceCfYo0BwxsXqNm01IGEUdYcSSLTEv9YCik/edit?usp=sharing"",""เบิกจ่ายกองทุน!BG86"")"),0)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IFERROR(__xludf.DUMMYFUNCTION("IMPORTRANGE(""https://docs.google.com/spreadsheets/d/1-uDff_7J0KD5mKrp0Vvzr7lt3OU09vwQwhkpOPPYv2Y/edit?usp=sharing"",""งบพรบ!CN86"")"),0)</f>
        <v>0</v>
      </c>
      <c r="M182" s="46">
        <f ca="1">IFERROR(__xludf.DUMMYFUNCTION("IMPORTRANGE(""https://docs.google.com/spreadsheets/d/1-uDff_7J0KD5mKrp0Vvzr7lt3OU09vwQwhkpOPPYv2Y/edit?usp=sharing"",""งบพรบ!CQ86"")"),0)</f>
        <v>0</v>
      </c>
      <c r="N182" s="46">
        <f ca="1">IFERROR(__xludf.DUMMYFUNCTION("IMPORTRANGE(""https://docs.google.com/spreadsheets/d/1-uDff_7J0KD5mKrp0Vvzr7lt3OU09vwQwhkpOPPYv2Y/edit?usp=sharing"",""งบพรบ!CS86"")"),0)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IFERROR(__xludf.DUMMYFUNCTION("IMPORTRANGE(""https://docs.google.com/spreadsheets/d/1eHaY18a8A9IcSdp1K8H6x8fbOy06t2VsZHhMHf-1x7Y/edit?usp=sharing"",""แผน!AA86"")"),7)</f>
        <v>7</v>
      </c>
      <c r="J184" s="168">
        <v>7</v>
      </c>
      <c r="K184" s="46">
        <f t="shared" ref="K184:K186" ca="1" si="130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267600</v>
      </c>
      <c r="M187" s="132">
        <f t="shared" ca="1" si="132"/>
        <v>221300</v>
      </c>
      <c r="N187" s="132">
        <f t="shared" ca="1" si="132"/>
        <v>133707.32999999999</v>
      </c>
      <c r="O187" s="132">
        <f t="shared" ref="O187:O195" ca="1" si="133">IF(L187&gt;0,N187*100/L187,0)</f>
        <v>49.965369955156945</v>
      </c>
      <c r="P187" s="132">
        <f t="shared" ref="P187:P195" ca="1" si="134">IF(M187&gt;0,N187*100/M187,0)</f>
        <v>60.419037505648433</v>
      </c>
      <c r="Q187" s="132">
        <f t="shared" ref="Q187:S187" ca="1" si="135">Q188+Q189</f>
        <v>417900</v>
      </c>
      <c r="R187" s="132">
        <f t="shared" ca="1" si="135"/>
        <v>417900</v>
      </c>
      <c r="S187" s="132">
        <f t="shared" ca="1" si="135"/>
        <v>0</v>
      </c>
      <c r="T187" s="132">
        <f t="shared" ref="T187:T195" ca="1" si="136">IF(Q187&gt;0,S187*100/Q187,0)</f>
        <v>0</v>
      </c>
      <c r="U187" s="132">
        <f t="shared" ref="U187:U195" ca="1" si="137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267600</v>
      </c>
      <c r="M189" s="46">
        <f t="shared" ca="1" si="138"/>
        <v>221300</v>
      </c>
      <c r="N189" s="46">
        <f t="shared" ca="1" si="138"/>
        <v>133707.32999999999</v>
      </c>
      <c r="O189" s="46">
        <f t="shared" ca="1" si="133"/>
        <v>49.965369955156945</v>
      </c>
      <c r="P189" s="46">
        <f t="shared" ca="1" si="134"/>
        <v>60.419037505648433</v>
      </c>
      <c r="Q189" s="46">
        <f t="shared" ca="1" si="139"/>
        <v>417900</v>
      </c>
      <c r="R189" s="46">
        <f t="shared" ca="1" si="139"/>
        <v>417900</v>
      </c>
      <c r="S189" s="46">
        <f t="shared" ca="1" si="139"/>
        <v>0</v>
      </c>
      <c r="T189" s="46">
        <f t="shared" ca="1" si="136"/>
        <v>0</v>
      </c>
      <c r="U189" s="46">
        <f t="shared" ca="1" si="137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267600</v>
      </c>
      <c r="M190" s="46">
        <f t="shared" ca="1" si="140"/>
        <v>221300</v>
      </c>
      <c r="N190" s="46">
        <f t="shared" ca="1" si="140"/>
        <v>133707.32999999999</v>
      </c>
      <c r="O190" s="46">
        <f t="shared" ca="1" si="133"/>
        <v>49.965369955156945</v>
      </c>
      <c r="P190" s="46">
        <f t="shared" ca="1" si="134"/>
        <v>60.419037505648433</v>
      </c>
      <c r="Q190" s="46">
        <f t="shared" ref="Q190:S190" ca="1" si="141">Q191+Q192</f>
        <v>417900</v>
      </c>
      <c r="R190" s="46">
        <f t="shared" ca="1" si="141"/>
        <v>417900</v>
      </c>
      <c r="S190" s="46">
        <f t="shared" ca="1" si="141"/>
        <v>0</v>
      </c>
      <c r="T190" s="46">
        <f t="shared" ca="1" si="136"/>
        <v>0</v>
      </c>
      <c r="U190" s="46">
        <f t="shared" ca="1" si="137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IFERROR(__xludf.DUMMYFUNCTION("IMPORTRANGE(""https://docs.google.com/spreadsheets/d/1-uDff_7J0KD5mKrp0Vvzr7lt3OU09vwQwhkpOPPYv2Y/edit?usp=sharing"",""งบพรบ!CU86"")"),267600)</f>
        <v>267600</v>
      </c>
      <c r="M192" s="46">
        <f ca="1">IFERROR(__xludf.DUMMYFUNCTION("IMPORTRANGE(""https://docs.google.com/spreadsheets/d/1-uDff_7J0KD5mKrp0Vvzr7lt3OU09vwQwhkpOPPYv2Y/edit?usp=sharing"",""งบพรบ!CZ86"")"),221300)</f>
        <v>221300</v>
      </c>
      <c r="N192" s="46">
        <f ca="1">IFERROR(__xludf.DUMMYFUNCTION("IMPORTRANGE(""https://docs.google.com/spreadsheets/d/1-uDff_7J0KD5mKrp0Vvzr7lt3OU09vwQwhkpOPPYv2Y/edit?usp=sharing"",""งบพรบ!DB86"")"),133707.33)</f>
        <v>133707.32999999999</v>
      </c>
      <c r="O192" s="46">
        <f t="shared" ca="1" si="133"/>
        <v>49.965369955156945</v>
      </c>
      <c r="P192" s="46">
        <f t="shared" ca="1" si="134"/>
        <v>60.419037505648433</v>
      </c>
      <c r="Q192" s="46">
        <f ca="1">IFERROR(__xludf.DUMMYFUNCTION("IMPORTRANGE(""https://docs.google.com/spreadsheets/d/1ItG2mGa2ceCfYo0BwxsXqNm01IGEUdYcSSLTEv9YCik/edit?usp=sharing"",""เบิกจ่ายกองทุน!AV86"")"),417900)</f>
        <v>417900</v>
      </c>
      <c r="R192" s="46">
        <f ca="1">IFERROR(__xludf.DUMMYFUNCTION("IMPORTRANGE(""https://docs.google.com/spreadsheets/d/1ItG2mGa2ceCfYo0BwxsXqNm01IGEUdYcSSLTEv9YCik/edit?usp=sharing"",""เบิกจ่ายกองทุน!AW86"")"),417900)</f>
        <v>417900</v>
      </c>
      <c r="S192" s="46">
        <f ca="1">IFERROR(__xludf.DUMMYFUNCTION("IMPORTRANGE(""https://docs.google.com/spreadsheets/d/1ItG2mGa2ceCfYo0BwxsXqNm01IGEUdYcSSLTEv9YCik/edit?usp=sharing"",""เบิกจ่ายกองทุน!AX86"")"),0)</f>
        <v>0</v>
      </c>
      <c r="T192" s="46">
        <f t="shared" ca="1" si="136"/>
        <v>0</v>
      </c>
      <c r="U192" s="46">
        <f t="shared" ca="1" si="137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IFERROR(__xludf.DUMMYFUNCTION("IMPORTRANGE(""https://docs.google.com/spreadsheets/d/1-uDff_7J0KD5mKrp0Vvzr7lt3OU09vwQwhkpOPPYv2Y/edit?usp=sharing"",""งบพรบ!CX86"")"),0)</f>
        <v>0</v>
      </c>
      <c r="M195" s="46">
        <f ca="1">IFERROR(__xludf.DUMMYFUNCTION("IMPORTRANGE(""https://docs.google.com/spreadsheets/d/1-uDff_7J0KD5mKrp0Vvzr7lt3OU09vwQwhkpOPPYv2Y/edit?usp=sharing"",""งบพรบ!DA86"")"),0)</f>
        <v>0</v>
      </c>
      <c r="N195" s="46">
        <f ca="1">IFERROR(__xludf.DUMMYFUNCTION("IMPORTRANGE(""https://docs.google.com/spreadsheets/d/1-uDff_7J0KD5mKrp0Vvzr7lt3OU09vwQwhkpOPPYv2Y/edit?usp=sharing"",""งบพรบ!DC86"")"),0)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IFERROR(__xludf.DUMMYFUNCTION("IMPORTRANGE(""https://docs.google.com/spreadsheets/d/1eHaY18a8A9IcSdp1K8H6x8fbOy06t2VsZHhMHf-1x7Y/edit?usp=sharing"",""แผน!AB86"")"),6000)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IFERROR(__xludf.DUMMYFUNCTION("IMPORTRANGE(""https://docs.google.com/spreadsheets/d/1eHaY18a8A9IcSdp1K8H6x8fbOy06t2VsZHhMHf-1x7Y/edit?usp=sharing"",""แผน!AE86"")"),4)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117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117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5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25000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86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IFERROR(__xludf.DUMMYFUNCTION("IMPORTRANGE(""https://docs.google.com/spreadsheets/d/1eHaY18a8A9IcSdp1K8H6x8fbOy06t2VsZHhMHf-1x7Y/edit?usp=sharing"",""แผน!AG86"")"),5000)</f>
        <v>5000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IFERROR(__xludf.DUMMYFUNCTION("IMPORTRANGE(""https://docs.google.com/spreadsheets/d/1eHaY18a8A9IcSdp1K8H6x8fbOy06t2VsZHhMHf-1x7Y/edit?usp=sharing"",""แผน!AH86"")"),0)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IFERROR(__xludf.DUMMYFUNCTION("IMPORTRANGE(""https://docs.google.com/spreadsheets/d/1eHaY18a8A9IcSdp1K8H6x8fbOy06t2VsZHhMHf-1x7Y/edit?usp=sharing"",""แผน!AI86"")"),0)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IFERROR(__xludf.DUMMYFUNCTION("IMPORTRANGE(""https://docs.google.com/spreadsheets/d/1eHaY18a8A9IcSdp1K8H6x8fbOy06t2VsZHhMHf-1x7Y/edit?usp=sharing"",""แผน!AJ86"")"),20000)</f>
        <v>20000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IFERROR(__xludf.DUMMYFUNCTION("IMPORTRANGE(""https://docs.google.com/spreadsheets/d/1eHaY18a8A9IcSdp1K8H6x8fbOy06t2VsZHhMHf-1x7Y/edit?usp=sharing"",""แผน!AK86"")"),5)</f>
        <v>5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IFERROR(__xludf.DUMMYFUNCTION("IMPORTRANGE(""https://docs.google.com/spreadsheets/d/1eHaY18a8A9IcSdp1K8H6x8fbOy06t2VsZHhMHf-1x7Y/edit?usp=sharing"",""แผน!JX86"")"),5)</f>
        <v>5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IFERROR(__xludf.DUMMYFUNCTION("IMPORTRANGE(""https://docs.google.com/spreadsheets/d/1eHaY18a8A9IcSdp1K8H6x8fbOy06t2VsZHhMHf-1x7Y/edit?usp=sharing"",""แผน!JY86"")"),0)</f>
        <v>0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7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12000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IFERROR(__xludf.DUMMYFUNCTION("IMPORTRANGE(""https://docs.google.com/spreadsheets/d/1eHaY18a8A9IcSdp1K8H6x8fbOy06t2VsZHhMHf-1x7Y/edit?usp=sharing"",""แผน!AM86"")"),2000)</f>
        <v>2000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IFERROR(__xludf.DUMMYFUNCTION("IMPORTRANGE(""https://docs.google.com/spreadsheets/d/1eHaY18a8A9IcSdp1K8H6x8fbOy06t2VsZHhMHf-1x7Y/edit?usp=sharing"",""แผน!AN86"")"),10000)</f>
        <v>10000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IFERROR(__xludf.DUMMYFUNCTION("IMPORTRANGE(""https://docs.google.com/spreadsheets/d/1eHaY18a8A9IcSdp1K8H6x8fbOy06t2VsZHhMHf-1x7Y/edit?usp=sharing"",""แผน!AO86"")"),0)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IFERROR(__xludf.DUMMYFUNCTION("IMPORTRANGE(""https://docs.google.com/spreadsheets/d/1eHaY18a8A9IcSdp1K8H6x8fbOy06t2VsZHhMHf-1x7Y/edit?usp=sharing"",""แผน!AP86"")"),7)</f>
        <v>7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15000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IFERROR(__xludf.DUMMYFUNCTION("IMPORTRANGE(""https://docs.google.com/spreadsheets/d/1eHaY18a8A9IcSdp1K8H6x8fbOy06t2VsZHhMHf-1x7Y/edit?usp=sharing"",""แผน!AR86"")"),2500)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IFERROR(__xludf.DUMMYFUNCTION("IMPORTRANGE(""https://docs.google.com/spreadsheets/d/1eHaY18a8A9IcSdp1K8H6x8fbOy06t2VsZHhMHf-1x7Y/edit?usp=sharing"",""แผน!AS86"")"),2000)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IFERROR(__xludf.DUMMYFUNCTION("IMPORTRANGE(""https://docs.google.com/spreadsheets/d/1eHaY18a8A9IcSdp1K8H6x8fbOy06t2VsZHhMHf-1x7Y/edit?usp=sharing"",""แผน!AT86"")"),0)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IFERROR(__xludf.DUMMYFUNCTION("IMPORTRANGE(""https://docs.google.com/spreadsheets/d/1eHaY18a8A9IcSdp1K8H6x8fbOy06t2VsZHhMHf-1x7Y/edit?usp=sharing"",""แผน!AV86"")"),15000)</f>
        <v>15000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IFERROR(__xludf.DUMMYFUNCTION("IMPORTRANGE(""https://docs.google.com/spreadsheets/d/1eHaY18a8A9IcSdp1K8H6x8fbOy06t2VsZHhMHf-1x7Y/edit?usp=sharing"",""แผน!AU86"")"),0)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1">I243+I254</f>
        <v>0</v>
      </c>
      <c r="J232" s="573">
        <f t="shared" si="151"/>
        <v>0</v>
      </c>
      <c r="K232" s="574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4">I250+I261</f>
        <v>0</v>
      </c>
      <c r="J239" s="340">
        <f t="shared" si="154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5">I252+I263</f>
        <v>0</v>
      </c>
      <c r="J241" s="340">
        <f t="shared" si="155"/>
        <v>0</v>
      </c>
      <c r="K241" s="48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5"/>
        <v>0</v>
      </c>
      <c r="J242" s="340">
        <f t="shared" si="155"/>
        <v>0</v>
      </c>
      <c r="K242" s="48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IFERROR(__xludf.DUMMYFUNCTION("IMPORTRANGE(""https://docs.google.com/spreadsheets/d/1eHaY18a8A9IcSdp1K8H6x8fbOy06t2VsZHhMHf-1x7Y/edit?usp=sharing"",""แผน!AX86"")"),0)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IFERROR(__xludf.DUMMYFUNCTION("IMPORTRANGE(""https://docs.google.com/spreadsheets/d/1eHaY18a8A9IcSdp1K8H6x8fbOy06t2VsZHhMHf-1x7Y/edit?usp=sharing"",""แผน!AY86"")"),0)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IFERROR(__xludf.DUMMYFUNCTION("IMPORTRANGE(""https://docs.google.com/spreadsheets/d/1eHaY18a8A9IcSdp1K8H6x8fbOy06t2VsZHhMHf-1x7Y/edit?usp=sharing"",""แผน!AZ86"")"),0)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IFERROR(__xludf.DUMMYFUNCTION("IMPORTRANGE(""https://docs.google.com/spreadsheets/d/1eHaY18a8A9IcSdp1K8H6x8fbOy06t2VsZHhMHf-1x7Y/edit?usp=sharing"",""แผน!BA86"")"),0)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IFERROR(__xludf.DUMMYFUNCTION("IMPORTRANGE(""https://docs.google.com/spreadsheets/d/1eHaY18a8A9IcSdp1K8H6x8fbOy06t2VsZHhMHf-1x7Y/edit?usp=sharing"",""แผน!BG86"")"),0)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IFERROR(__xludf.DUMMYFUNCTION("IMPORTRANGE(""https://docs.google.com/spreadsheets/d/1eHaY18a8A9IcSdp1K8H6x8fbOy06t2VsZHhMHf-1x7Y/edit?usp=sharing"",""แผน!BB86"")"),0)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IFERROR(__xludf.DUMMYFUNCTION("IMPORTRANGE(""https://docs.google.com/spreadsheets/d/1eHaY18a8A9IcSdp1K8H6x8fbOy06t2VsZHhMHf-1x7Y/edit?usp=sharing"",""แผน!BC86"")"),0)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IFERROR(__xludf.DUMMYFUNCTION("IMPORTRANGE(""https://docs.google.com/spreadsheets/d/1eHaY18a8A9IcSdp1K8H6x8fbOy06t2VsZHhMHf-1x7Y/edit?usp=sharing"",""แผน!BD86"")"),0)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IFERROR(__xludf.DUMMYFUNCTION("IMPORTRANGE(""https://docs.google.com/spreadsheets/d/1eHaY18a8A9IcSdp1K8H6x8fbOy06t2VsZHhMHf-1x7Y/edit?usp=sharing"",""แผน!BE86"")"),0)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IFERROR(__xludf.DUMMYFUNCTION("IMPORTRANGE(""https://docs.google.com/spreadsheets/d/1eHaY18a8A9IcSdp1K8H6x8fbOy06t2VsZHhMHf-1x7Y/edit?usp=sharing"",""แผน!BH86"")"),0)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22</v>
      </c>
      <c r="J266" s="613">
        <f t="shared" si="161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2">L268+L269</f>
        <v>0</v>
      </c>
      <c r="M267" s="626">
        <f t="shared" ca="1" si="162"/>
        <v>5000</v>
      </c>
      <c r="N267" s="626">
        <f t="shared" ca="1" si="162"/>
        <v>0</v>
      </c>
      <c r="O267" s="626">
        <f t="shared" ref="O267:O275" ca="1" si="163">IF(L267&gt;0,N267*100/L267,0)</f>
        <v>0</v>
      </c>
      <c r="P267" s="626">
        <f t="shared" ref="P267:P275" ca="1" si="164">IF(M267&gt;0,N267*100/M267,0)</f>
        <v>0</v>
      </c>
      <c r="Q267" s="626">
        <f t="shared" ref="Q267:S267" ca="1" si="165">Q268+Q269</f>
        <v>50660</v>
      </c>
      <c r="R267" s="626">
        <f t="shared" ca="1" si="165"/>
        <v>50660</v>
      </c>
      <c r="S267" s="626">
        <f t="shared" ca="1" si="165"/>
        <v>0</v>
      </c>
      <c r="T267" s="626">
        <f t="shared" ref="T267:T275" ca="1" si="166">IF(Q267&gt;0,S267*100/Q267,0)</f>
        <v>0</v>
      </c>
      <c r="U267" s="626">
        <f t="shared" ref="U267:U275" ca="1" si="167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8"/>
        <v>0</v>
      </c>
      <c r="M269" s="630">
        <f t="shared" ca="1" si="168"/>
        <v>5000</v>
      </c>
      <c r="N269" s="630">
        <f t="shared" ca="1" si="168"/>
        <v>0</v>
      </c>
      <c r="O269" s="630">
        <f t="shared" ca="1" si="163"/>
        <v>0</v>
      </c>
      <c r="P269" s="630">
        <f t="shared" ca="1" si="164"/>
        <v>0</v>
      </c>
      <c r="Q269" s="630">
        <f t="shared" ca="1" si="169"/>
        <v>50660</v>
      </c>
      <c r="R269" s="630">
        <f t="shared" ca="1" si="169"/>
        <v>50660</v>
      </c>
      <c r="S269" s="630">
        <f t="shared" ca="1" si="169"/>
        <v>0</v>
      </c>
      <c r="T269" s="630">
        <f t="shared" ca="1" si="166"/>
        <v>0</v>
      </c>
      <c r="U269" s="630">
        <f t="shared" ca="1" si="167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70">L271+L272</f>
        <v>0</v>
      </c>
      <c r="M270" s="630">
        <f t="shared" ca="1" si="170"/>
        <v>5000</v>
      </c>
      <c r="N270" s="630">
        <f t="shared" ca="1" si="170"/>
        <v>0</v>
      </c>
      <c r="O270" s="630">
        <f t="shared" ca="1" si="163"/>
        <v>0</v>
      </c>
      <c r="P270" s="630">
        <f t="shared" ca="1" si="164"/>
        <v>0</v>
      </c>
      <c r="Q270" s="630">
        <f t="shared" ref="Q270:S270" ca="1" si="171">Q271+Q272</f>
        <v>50660</v>
      </c>
      <c r="R270" s="630">
        <f t="shared" ca="1" si="171"/>
        <v>50660</v>
      </c>
      <c r="S270" s="630">
        <f t="shared" ca="1" si="171"/>
        <v>0</v>
      </c>
      <c r="T270" s="630">
        <f t="shared" ca="1" si="166"/>
        <v>0</v>
      </c>
      <c r="U270" s="630">
        <f t="shared" ca="1" si="167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IFERROR(__xludf.DUMMYFUNCTION("IMPORTRANGE(""https://docs.google.com/spreadsheets/d/1-uDff_7J0KD5mKrp0Vvzr7lt3OU09vwQwhkpOPPYv2Y/edit?usp=sharing"",""งบพรบ!DE86"")"),0)</f>
        <v>0</v>
      </c>
      <c r="M272" s="630">
        <f ca="1">IFERROR(__xludf.DUMMYFUNCTION("IMPORTRANGE(""https://docs.google.com/spreadsheets/d/1-uDff_7J0KD5mKrp0Vvzr7lt3OU09vwQwhkpOPPYv2Y/edit?usp=sharing"",""งบพรบ!DJ86"")"),5000)</f>
        <v>5000</v>
      </c>
      <c r="N272" s="630">
        <f ca="1">IFERROR(__xludf.DUMMYFUNCTION("IMPORTRANGE(""https://docs.google.com/spreadsheets/d/1-uDff_7J0KD5mKrp0Vvzr7lt3OU09vwQwhkpOPPYv2Y/edit?usp=sharing"",""งบพรบ!DL86"")"),0)</f>
        <v>0</v>
      </c>
      <c r="O272" s="630">
        <f t="shared" ca="1" si="163"/>
        <v>0</v>
      </c>
      <c r="P272" s="630">
        <f t="shared" ca="1" si="164"/>
        <v>0</v>
      </c>
      <c r="Q272" s="630">
        <f ca="1">IFERROR(__xludf.DUMMYFUNCTION("IMPORTRANGE(""https://docs.google.com/spreadsheets/d/1ItG2mGa2ceCfYo0BwxsXqNm01IGEUdYcSSLTEv9YCik/edit?usp=sharing"",""เบิกจ่ายกองทุน!AJ86"")"),50660)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IFERROR(__xludf.DUMMYFUNCTION("IMPORTRANGE(""https://docs.google.com/spreadsheets/d/1ItG2mGa2ceCfYo0BwxsXqNm01IGEUdYcSSLTEv9YCik/edit?usp=sharing"",""เบิกจ่ายกองทุน!AK86"")"),50660)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IFERROR(__xludf.DUMMYFUNCTION("IMPORTRANGE(""https://docs.google.com/spreadsheets/d/1ItG2mGa2ceCfYo0BwxsXqNm01IGEUdYcSSLTEv9YCik/edit?usp=sharing"",""เบิกจ่ายกองทุน!AL86"")"),0)</f>
        <v>0</v>
      </c>
      <c r="T272" s="630">
        <f t="shared" ca="1" si="166"/>
        <v>0</v>
      </c>
      <c r="U272" s="630">
        <f t="shared" ca="1" si="167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2">L274+L275</f>
        <v>0</v>
      </c>
      <c r="M273" s="630">
        <f t="shared" ca="1" si="172"/>
        <v>0</v>
      </c>
      <c r="N273" s="630">
        <f t="shared" ca="1" si="172"/>
        <v>0</v>
      </c>
      <c r="O273" s="630">
        <f t="shared" ca="1" si="163"/>
        <v>0</v>
      </c>
      <c r="P273" s="630">
        <f t="shared" ca="1" si="164"/>
        <v>0</v>
      </c>
      <c r="Q273" s="630">
        <f t="shared" ref="Q273:S273" si="173">Q274+Q275</f>
        <v>0</v>
      </c>
      <c r="R273" s="630">
        <f t="shared" si="173"/>
        <v>0</v>
      </c>
      <c r="S273" s="630">
        <f t="shared" si="173"/>
        <v>0</v>
      </c>
      <c r="T273" s="630">
        <f t="shared" si="166"/>
        <v>0</v>
      </c>
      <c r="U273" s="630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IFERROR(__xludf.DUMMYFUNCTION("IMPORTRANGE(""https://docs.google.com/spreadsheets/d/1-uDff_7J0KD5mKrp0Vvzr7lt3OU09vwQwhkpOPPYv2Y/edit?usp=sharing"",""งบพรบ!DH86"")"),0)</f>
        <v>0</v>
      </c>
      <c r="M275" s="630">
        <f ca="1">IFERROR(__xludf.DUMMYFUNCTION("IMPORTRANGE(""https://docs.google.com/spreadsheets/d/1-uDff_7J0KD5mKrp0Vvzr7lt3OU09vwQwhkpOPPYv2Y/edit?usp=sharing"",""งบพรบ!DK86"")"),0)</f>
        <v>0</v>
      </c>
      <c r="N275" s="630">
        <f ca="1">IFERROR(__xludf.DUMMYFUNCTION("IMPORTRANGE(""https://docs.google.com/spreadsheets/d/1-uDff_7J0KD5mKrp0Vvzr7lt3OU09vwQwhkpOPPYv2Y/edit?usp=sharing"",""งบพรบ!DM86"")"),0)</f>
        <v>0</v>
      </c>
      <c r="O275" s="630">
        <f t="shared" ca="1" si="163"/>
        <v>0</v>
      </c>
      <c r="P275" s="630">
        <f t="shared" ca="1" si="164"/>
        <v>0</v>
      </c>
      <c r="Q275" s="630">
        <v>0</v>
      </c>
      <c r="R275" s="630">
        <v>0</v>
      </c>
      <c r="S275" s="630">
        <v>0</v>
      </c>
      <c r="T275" s="630">
        <f t="shared" si="166"/>
        <v>0</v>
      </c>
      <c r="U275" s="630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IFERROR(__xludf.DUMMYFUNCTION("IMPORTRANGE(""https://docs.google.com/spreadsheets/d/1eHaY18a8A9IcSdp1K8H6x8fbOy06t2VsZHhMHf-1x7Y/edit?usp=sharing"",""แผน!EC86"")"),22)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0</v>
      </c>
      <c r="J281" s="298">
        <f t="shared" si="174"/>
        <v>0</v>
      </c>
      <c r="K281" s="299">
        <f t="shared" ref="K281:K282" ca="1" si="175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0</v>
      </c>
      <c r="J282" s="298">
        <f t="shared" si="176"/>
        <v>0</v>
      </c>
      <c r="K282" s="299">
        <f t="shared" ca="1" si="175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0</v>
      </c>
      <c r="M283" s="132">
        <f t="shared" ca="1" si="177"/>
        <v>0</v>
      </c>
      <c r="N283" s="132">
        <f t="shared" ca="1" si="177"/>
        <v>0</v>
      </c>
      <c r="O283" s="132">
        <f t="shared" ref="O283:O291" ca="1" si="178">IF(L283&gt;0,N283*100/L283,0)</f>
        <v>0</v>
      </c>
      <c r="P283" s="132">
        <f t="shared" ref="P283:P291" ca="1" si="179">IF(M283&gt;0,N283*100/M283,0)</f>
        <v>0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0</v>
      </c>
      <c r="M285" s="46">
        <f t="shared" ca="1" si="183"/>
        <v>0</v>
      </c>
      <c r="N285" s="46">
        <f t="shared" ca="1" si="183"/>
        <v>0</v>
      </c>
      <c r="O285" s="46">
        <f t="shared" ca="1" si="178"/>
        <v>0</v>
      </c>
      <c r="P285" s="46">
        <f t="shared" ca="1" si="179"/>
        <v>0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0</v>
      </c>
      <c r="M286" s="46">
        <f t="shared" ca="1" si="185"/>
        <v>0</v>
      </c>
      <c r="N286" s="46">
        <f t="shared" ca="1" si="185"/>
        <v>0</v>
      </c>
      <c r="O286" s="46">
        <f t="shared" ca="1" si="178"/>
        <v>0</v>
      </c>
      <c r="P286" s="46">
        <f t="shared" ca="1" si="179"/>
        <v>0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IFERROR(__xludf.DUMMYFUNCTION("IMPORTRANGE(""https://docs.google.com/spreadsheets/d/1-uDff_7J0KD5mKrp0Vvzr7lt3OU09vwQwhkpOPPYv2Y/edit?usp=sharing"",""งบพรบ!DO86"")"),0)</f>
        <v>0</v>
      </c>
      <c r="M288" s="46">
        <f ca="1">IFERROR(__xludf.DUMMYFUNCTION("IMPORTRANGE(""https://docs.google.com/spreadsheets/d/1-uDff_7J0KD5mKrp0Vvzr7lt3OU09vwQwhkpOPPYv2Y/edit?usp=sharing"",""งบพรบ!DT86"")"),0)</f>
        <v>0</v>
      </c>
      <c r="N288" s="46">
        <f ca="1">IFERROR(__xludf.DUMMYFUNCTION("IMPORTRANGE(""https://docs.google.com/spreadsheets/d/1-uDff_7J0KD5mKrp0Vvzr7lt3OU09vwQwhkpOPPYv2Y/edit?usp=sharing"",""งบพรบ!DV86"")"),0)</f>
        <v>0</v>
      </c>
      <c r="O288" s="46">
        <f t="shared" ca="1" si="178"/>
        <v>0</v>
      </c>
      <c r="P288" s="46">
        <f t="shared" ca="1" si="179"/>
        <v>0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IFERROR(__xludf.DUMMYFUNCTION("IMPORTRANGE(""https://docs.google.com/spreadsheets/d/1-uDff_7J0KD5mKrp0Vvzr7lt3OU09vwQwhkpOPPYv2Y/edit?usp=sharing"",""งบพรบ!DR86"")"),0)</f>
        <v>0</v>
      </c>
      <c r="M291" s="46">
        <f ca="1">IFERROR(__xludf.DUMMYFUNCTION("IMPORTRANGE(""https://docs.google.com/spreadsheets/d/1-uDff_7J0KD5mKrp0Vvzr7lt3OU09vwQwhkpOPPYv2Y/edit?usp=sharing"",""งบพรบ!DU86"")"),0)</f>
        <v>0</v>
      </c>
      <c r="N291" s="46">
        <f ca="1">IFERROR(__xludf.DUMMYFUNCTION("IMPORTRANGE(""https://docs.google.com/spreadsheets/d/1-uDff_7J0KD5mKrp0Vvzr7lt3OU09vwQwhkpOPPYv2Y/edit?usp=sharing"",""งบพรบ!DW86"")"),0)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IFERROR(__xludf.DUMMYFUNCTION("IMPORTRANGE(""https://docs.google.com/spreadsheets/d/1eHaY18a8A9IcSdp1K8H6x8fbOy06t2VsZHhMHf-1x7Y/edit?usp=sharing"",""แผน!EE86"")"),0)</f>
        <v>0</v>
      </c>
      <c r="J293" s="168">
        <v>0</v>
      </c>
      <c r="K293" s="153">
        <f t="shared" ref="K293:K294" ca="1" si="189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IFERROR(__xludf.DUMMYFUNCTION("IMPORTRANGE(""https://docs.google.com/spreadsheets/d/1eHaY18a8A9IcSdp1K8H6x8fbOy06t2VsZHhMHf-1x7Y/edit?usp=sharing"",""แผน!ED86"")"),0)</f>
        <v>0</v>
      </c>
      <c r="J294" s="147">
        <f>J297</f>
        <v>0</v>
      </c>
      <c r="K294" s="148">
        <f t="shared" ca="1" si="189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8">
        <v>0</v>
      </c>
      <c r="K296" s="153">
        <f t="shared" ref="K296:K297" ca="1" si="190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IFERROR(__xludf.DUMMYFUNCTION("IMPORTRANGE(""https://docs.google.com/spreadsheets/d/1eHaY18a8A9IcSdp1K8H6x8fbOy06t2VsZHhMHf-1x7Y/edit?usp=sharing"",""แผน!ED86"")"),0)</f>
        <v>0</v>
      </c>
      <c r="J297" s="168">
        <v>0</v>
      </c>
      <c r="K297" s="153">
        <f t="shared" ca="1" si="190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25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0</v>
      </c>
      <c r="M304" s="132">
        <f t="shared" ca="1" si="192"/>
        <v>0</v>
      </c>
      <c r="N304" s="132">
        <f t="shared" ca="1" si="192"/>
        <v>0</v>
      </c>
      <c r="O304" s="132">
        <f t="shared" ref="O304:O312" ca="1" si="193">IF(L304&gt;0,N304*100/L304,0)</f>
        <v>0</v>
      </c>
      <c r="P304" s="132">
        <f t="shared" ref="P304:P312" ca="1" si="194">IF(M304&gt;0,N304*100/M304,0)</f>
        <v>0</v>
      </c>
      <c r="Q304" s="132">
        <f t="shared" ref="Q304:S304" ca="1" si="195">Q305+Q306</f>
        <v>226234.22</v>
      </c>
      <c r="R304" s="132">
        <f t="shared" ca="1" si="195"/>
        <v>226234</v>
      </c>
      <c r="S304" s="132">
        <f t="shared" ca="1" si="195"/>
        <v>0</v>
      </c>
      <c r="T304" s="132">
        <f t="shared" ref="T304:T312" ca="1" si="196">IF(Q304&gt;0,S304*100/Q304,0)</f>
        <v>0</v>
      </c>
      <c r="U304" s="132">
        <f t="shared" ref="U304:U312" ca="1" si="197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0</v>
      </c>
      <c r="M306" s="46">
        <f t="shared" ca="1" si="198"/>
        <v>0</v>
      </c>
      <c r="N306" s="46">
        <f t="shared" ca="1" si="198"/>
        <v>0</v>
      </c>
      <c r="O306" s="46">
        <f t="shared" ca="1" si="193"/>
        <v>0</v>
      </c>
      <c r="P306" s="46">
        <f t="shared" ca="1" si="194"/>
        <v>0</v>
      </c>
      <c r="Q306" s="46">
        <f t="shared" ca="1" si="199"/>
        <v>226234.22</v>
      </c>
      <c r="R306" s="46">
        <f t="shared" ca="1" si="199"/>
        <v>226234</v>
      </c>
      <c r="S306" s="46">
        <f t="shared" ca="1" si="199"/>
        <v>0</v>
      </c>
      <c r="T306" s="46">
        <f t="shared" ca="1" si="196"/>
        <v>0</v>
      </c>
      <c r="U306" s="46">
        <f t="shared" ca="1" si="197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0</v>
      </c>
      <c r="M307" s="46">
        <f t="shared" ca="1" si="200"/>
        <v>0</v>
      </c>
      <c r="N307" s="46">
        <f t="shared" ca="1" si="200"/>
        <v>0</v>
      </c>
      <c r="O307" s="46">
        <f t="shared" ca="1" si="193"/>
        <v>0</v>
      </c>
      <c r="P307" s="46">
        <f t="shared" ca="1" si="194"/>
        <v>0</v>
      </c>
      <c r="Q307" s="46">
        <f t="shared" ref="Q307:S307" ca="1" si="201">Q308+Q309</f>
        <v>226234.22</v>
      </c>
      <c r="R307" s="46">
        <f t="shared" ca="1" si="201"/>
        <v>226234</v>
      </c>
      <c r="S307" s="46">
        <f t="shared" ca="1" si="201"/>
        <v>0</v>
      </c>
      <c r="T307" s="46">
        <f t="shared" ca="1" si="196"/>
        <v>0</v>
      </c>
      <c r="U307" s="46">
        <f t="shared" ca="1" si="197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IFERROR(__xludf.DUMMYFUNCTION("IMPORTRANGE(""https://docs.google.com/spreadsheets/d/1-uDff_7J0KD5mKrp0Vvzr7lt3OU09vwQwhkpOPPYv2Y/edit?usp=sharing"",""งบพรบ!DY86"")"),0)</f>
        <v>0</v>
      </c>
      <c r="M309" s="46">
        <f ca="1">IFERROR(__xludf.DUMMYFUNCTION("IMPORTRANGE(""https://docs.google.com/spreadsheets/d/1-uDff_7J0KD5mKrp0Vvzr7lt3OU09vwQwhkpOPPYv2Y/edit?usp=sharing"",""งบพรบ!ED86"")"),0)</f>
        <v>0</v>
      </c>
      <c r="N309" s="46">
        <f ca="1">IFERROR(__xludf.DUMMYFUNCTION("IMPORTRANGE(""https://docs.google.com/spreadsheets/d/1-uDff_7J0KD5mKrp0Vvzr7lt3OU09vwQwhkpOPPYv2Y/edit?usp=sharing"",""งบพรบ!EF86"")"),0)</f>
        <v>0</v>
      </c>
      <c r="O309" s="46">
        <f t="shared" ca="1" si="193"/>
        <v>0</v>
      </c>
      <c r="P309" s="46">
        <f t="shared" ca="1" si="194"/>
        <v>0</v>
      </c>
      <c r="Q309" s="46">
        <f ca="1">IFERROR(__xludf.DUMMYFUNCTION("IMPORTRANGE(""https://docs.google.com/spreadsheets/d/1ItG2mGa2ceCfYo0BwxsXqNm01IGEUdYcSSLTEv9YCik/edit?usp=sharing"",""เบิกจ่ายกองทุน!AP86"")"),226234.22)</f>
        <v>226234.22</v>
      </c>
      <c r="R309" s="46">
        <f ca="1">IFERROR(__xludf.DUMMYFUNCTION("IMPORTRANGE(""https://docs.google.com/spreadsheets/d/1ItG2mGa2ceCfYo0BwxsXqNm01IGEUdYcSSLTEv9YCik/edit?usp=sharing"",""เบิกจ่ายกองทุน!AQ86"")"),226234)</f>
        <v>226234</v>
      </c>
      <c r="S309" s="46">
        <f ca="1">IFERROR(__xludf.DUMMYFUNCTION("IMPORTRANGE(""https://docs.google.com/spreadsheets/d/1ItG2mGa2ceCfYo0BwxsXqNm01IGEUdYcSSLTEv9YCik/edit?usp=sharing"",""เบิกจ่ายกองทุน!AR86"")"),0)</f>
        <v>0</v>
      </c>
      <c r="T309" s="46">
        <f t="shared" ca="1" si="196"/>
        <v>0</v>
      </c>
      <c r="U309" s="46">
        <f t="shared" ca="1" si="197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IFERROR(__xludf.DUMMYFUNCTION("IMPORTRANGE(""https://docs.google.com/spreadsheets/d/1-uDff_7J0KD5mKrp0Vvzr7lt3OU09vwQwhkpOPPYv2Y/edit?usp=sharing"",""งบพรบ!EB86"")"),0)</f>
        <v>0</v>
      </c>
      <c r="M312" s="46">
        <f ca="1">IFERROR(__xludf.DUMMYFUNCTION("IMPORTRANGE(""https://docs.google.com/spreadsheets/d/1-uDff_7J0KD5mKrp0Vvzr7lt3OU09vwQwhkpOPPYv2Y/edit?usp=sharing"",""งบพรบ!EE86"")"),0)</f>
        <v>0</v>
      </c>
      <c r="N312" s="46">
        <f ca="1">IFERROR(__xludf.DUMMYFUNCTION("IMPORTRANGE(""https://docs.google.com/spreadsheets/d/1-uDff_7J0KD5mKrp0Vvzr7lt3OU09vwQwhkpOPPYv2Y/edit?usp=sharing"",""งบพรบ!EG86"")"),0)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IFERROR(__xludf.DUMMYFUNCTION("IMPORTRANGE(""https://docs.google.com/spreadsheets/d/1eHaY18a8A9IcSdp1K8H6x8fbOy06t2VsZHhMHf-1x7Y/edit?usp=sharing"",""แผน!EF86"")"),25)</f>
        <v>25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1</v>
      </c>
      <c r="J320" s="321">
        <f t="shared" si="204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20000</v>
      </c>
      <c r="M321" s="132">
        <f t="shared" ca="1" si="205"/>
        <v>20000</v>
      </c>
      <c r="N321" s="132">
        <f t="shared" ca="1" si="205"/>
        <v>7590</v>
      </c>
      <c r="O321" s="132">
        <f t="shared" ref="O321:O329" ca="1" si="206">IF(L321&gt;0,N321*100/L321,0)</f>
        <v>37.950000000000003</v>
      </c>
      <c r="P321" s="132">
        <f t="shared" ref="P321:P329" ca="1" si="207">IF(M321&gt;0,N321*100/M321,0)</f>
        <v>37.950000000000003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20000</v>
      </c>
      <c r="M323" s="46">
        <f t="shared" ca="1" si="211"/>
        <v>20000</v>
      </c>
      <c r="N323" s="46">
        <f t="shared" ca="1" si="211"/>
        <v>7590</v>
      </c>
      <c r="O323" s="46">
        <f t="shared" ca="1" si="206"/>
        <v>37.950000000000003</v>
      </c>
      <c r="P323" s="46">
        <f t="shared" ca="1" si="207"/>
        <v>37.950000000000003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20000</v>
      </c>
      <c r="M324" s="46">
        <f t="shared" ca="1" si="213"/>
        <v>20000</v>
      </c>
      <c r="N324" s="46">
        <f t="shared" ca="1" si="213"/>
        <v>7590</v>
      </c>
      <c r="O324" s="46">
        <f t="shared" ca="1" si="206"/>
        <v>37.950000000000003</v>
      </c>
      <c r="P324" s="46">
        <f t="shared" ca="1" si="207"/>
        <v>37.950000000000003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IFERROR(__xludf.DUMMYFUNCTION("IMPORTRANGE(""https://docs.google.com/spreadsheets/d/1-uDff_7J0KD5mKrp0Vvzr7lt3OU09vwQwhkpOPPYv2Y/edit?usp=sharing"",""งบพรบ!EI86"")"),20000)</f>
        <v>20000</v>
      </c>
      <c r="M326" s="46">
        <f ca="1">IFERROR(__xludf.DUMMYFUNCTION("IMPORTRANGE(""https://docs.google.com/spreadsheets/d/1-uDff_7J0KD5mKrp0Vvzr7lt3OU09vwQwhkpOPPYv2Y/edit?usp=sharing"",""งบพรบ!EN86"")"),20000)</f>
        <v>20000</v>
      </c>
      <c r="N326" s="46">
        <f ca="1">IFERROR(__xludf.DUMMYFUNCTION("IMPORTRANGE(""https://docs.google.com/spreadsheets/d/1-uDff_7J0KD5mKrp0Vvzr7lt3OU09vwQwhkpOPPYv2Y/edit?usp=sharing"",""งบพรบ!EP86"")"),7590)</f>
        <v>7590</v>
      </c>
      <c r="O326" s="46">
        <f t="shared" ca="1" si="206"/>
        <v>37.950000000000003</v>
      </c>
      <c r="P326" s="46">
        <f t="shared" ca="1" si="207"/>
        <v>37.950000000000003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IFERROR(__xludf.DUMMYFUNCTION("IMPORTRANGE(""https://docs.google.com/spreadsheets/d/1-uDff_7J0KD5mKrp0Vvzr7lt3OU09vwQwhkpOPPYv2Y/edit?usp=sharing"",""งบพรบ!EL86"")"),0)</f>
        <v>0</v>
      </c>
      <c r="M329" s="46">
        <f ca="1">IFERROR(__xludf.DUMMYFUNCTION("IMPORTRANGE(""https://docs.google.com/spreadsheets/d/1-uDff_7J0KD5mKrp0Vvzr7lt3OU09vwQwhkpOPPYv2Y/edit?usp=sharing"",""งบพรบ!EO86"")"),0)</f>
        <v>0</v>
      </c>
      <c r="N329" s="46">
        <f ca="1">IFERROR(__xludf.DUMMYFUNCTION("IMPORTRANGE(""https://docs.google.com/spreadsheets/d/1-uDff_7J0KD5mKrp0Vvzr7lt3OU09vwQwhkpOPPYv2Y/edit?usp=sharing"",""งบพรบ!EQ86"")"),0)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IFERROR(__xludf.DUMMYFUNCTION("IMPORTRANGE(""https://docs.google.com/spreadsheets/d/1eHaY18a8A9IcSdp1K8H6x8fbOy06t2VsZHhMHf-1x7Y/edit?usp=sharing"",""แผน!EJ86"")"),1)</f>
        <v>1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860</v>
      </c>
      <c r="J333" s="665">
        <f ca="1">J345+J348+J349+J350+J354</f>
        <v>1215</v>
      </c>
      <c r="K333" s="666">
        <f ca="1">IF(I333&gt;0,J333*100/I333,0)</f>
        <v>141.27906976744185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106000</v>
      </c>
      <c r="M334" s="132">
        <f t="shared" ca="1" si="217"/>
        <v>111000</v>
      </c>
      <c r="N334" s="132">
        <f t="shared" ca="1" si="217"/>
        <v>82793</v>
      </c>
      <c r="O334" s="132">
        <f t="shared" ref="O334:O342" ca="1" si="218">IF(L334&gt;0,N334*100/L334,0)</f>
        <v>78.106603773584908</v>
      </c>
      <c r="P334" s="132">
        <f t="shared" ref="P334:P342" ca="1" si="219">IF(M334&gt;0,N334*100/M334,0)</f>
        <v>74.588288288288283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106000</v>
      </c>
      <c r="M336" s="46">
        <f t="shared" ca="1" si="223"/>
        <v>111000</v>
      </c>
      <c r="N336" s="46">
        <f t="shared" ca="1" si="223"/>
        <v>82793</v>
      </c>
      <c r="O336" s="46">
        <f t="shared" ca="1" si="218"/>
        <v>78.106603773584908</v>
      </c>
      <c r="P336" s="46">
        <f t="shared" ca="1" si="219"/>
        <v>74.588288288288283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106000</v>
      </c>
      <c r="M337" s="46">
        <f t="shared" ca="1" si="225"/>
        <v>111000</v>
      </c>
      <c r="N337" s="46">
        <f t="shared" ca="1" si="225"/>
        <v>82793</v>
      </c>
      <c r="O337" s="46">
        <f t="shared" ca="1" si="218"/>
        <v>78.106603773584908</v>
      </c>
      <c r="P337" s="46">
        <f t="shared" ca="1" si="219"/>
        <v>74.588288288288283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IFERROR(__xludf.DUMMYFUNCTION("IMPORTRANGE(""https://docs.google.com/spreadsheets/d/1-uDff_7J0KD5mKrp0Vvzr7lt3OU09vwQwhkpOPPYv2Y/edit?usp=sharing"",""งบพรบ!ES86"")"),106000)</f>
        <v>106000</v>
      </c>
      <c r="M339" s="46">
        <f ca="1">IFERROR(__xludf.DUMMYFUNCTION("IMPORTRANGE(""https://docs.google.com/spreadsheets/d/1-uDff_7J0KD5mKrp0Vvzr7lt3OU09vwQwhkpOPPYv2Y/edit?usp=sharing"",""งบพรบ!EX86"")"),111000)</f>
        <v>111000</v>
      </c>
      <c r="N339" s="46">
        <f ca="1">IFERROR(__xludf.DUMMYFUNCTION("IMPORTRANGE(""https://docs.google.com/spreadsheets/d/1-uDff_7J0KD5mKrp0Vvzr7lt3OU09vwQwhkpOPPYv2Y/edit?usp=sharing"",""งบพรบ!EZ86"")"),82793)</f>
        <v>82793</v>
      </c>
      <c r="O339" s="46">
        <f t="shared" ca="1" si="218"/>
        <v>78.106603773584908</v>
      </c>
      <c r="P339" s="46">
        <f t="shared" ca="1" si="219"/>
        <v>74.588288288288283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IFERROR(__xludf.DUMMYFUNCTION("IMPORTRANGE(""https://docs.google.com/spreadsheets/d/1-uDff_7J0KD5mKrp0Vvzr7lt3OU09vwQwhkpOPPYv2Y/edit?usp=sharing"",""งบพรบ!EV86"")"),0)</f>
        <v>0</v>
      </c>
      <c r="M342" s="46">
        <f ca="1">IFERROR(__xludf.DUMMYFUNCTION("IMPORTRANGE(""https://docs.google.com/spreadsheets/d/1-uDff_7J0KD5mKrp0Vvzr7lt3OU09vwQwhkpOPPYv2Y/edit?usp=sharing"",""งบพรบ!EY86"")"),0)</f>
        <v>0</v>
      </c>
      <c r="N342" s="46">
        <f ca="1">IFERROR(__xludf.DUMMYFUNCTION("IMPORTRANGE(""https://docs.google.com/spreadsheets/d/1-uDff_7J0KD5mKrp0Vvzr7lt3OU09vwQwhkpOPPYv2Y/edit?usp=sharing"",""งบพรบ!FA86"")"),0)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405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IFERROR(__xludf.DUMMYFUNCTION("IMPORTRANGE(""https://docs.google.com/spreadsheets/d/1eHaY18a8A9IcSdp1K8H6x8fbOy06t2VsZHhMHf-1x7Y/edit?usp=sharing"",""แผน!EK86"")"),860)</f>
        <v>860</v>
      </c>
      <c r="J345" s="152">
        <f ca="1">IFERROR(__xludf.DUMMYFUNCTION("IMPORTRANGE(""https://docs.google.com/spreadsheets/d/1awYsYK3VOup2i3Pq_Yjnu8DRu_mYwSBnCR2QPthd0rU/edit?usp=sharing"",""ศูนย์ยกเว้นโฉนด!D86"")"),399)</f>
        <v>399</v>
      </c>
      <c r="K345" s="46">
        <f ca="1">IF(I345&gt;0,J345*100/I345,0)</f>
        <v>46.395348837209305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IFERROR(__xludf.DUMMYFUNCTION("IMPORTRANGE(""https://docs.google.com/spreadsheets/d/1eHaY18a8A9IcSdp1K8H6x8fbOy06t2VsZHhMHf-1x7Y/edit?usp=sharing"",""แผน!EL86"")"),3)</f>
        <v>3</v>
      </c>
      <c r="J347" s="152">
        <f ca="1">IFERROR(__xludf.DUMMYFUNCTION("IMPORTRANGE(""https://docs.google.com/spreadsheets/d/1awYsYK3VOup2i3Pq_Yjnu8DRu_mYwSBnCR2QPthd0rU/edit?usp=sharing"",""ศูนย์รวม!E86"")"),3)</f>
        <v>3</v>
      </c>
      <c r="K347" s="46">
        <f ca="1">IF(I347&gt;0,J347*100/I347,0)</f>
        <v>100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2108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IFERROR(__xludf.DUMMYFUNCTION("IMPORTRANGE(""https://docs.google.com/spreadsheets/d/1awYsYK3VOup2i3Pq_Yjnu8DRu_mYwSBnCR2QPthd0rU/edit?usp=sharing"",""โฉนดM3!G86"")"),1298)</f>
        <v>1298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IFERROR(__xludf.DUMMYFUNCTION("IMPORTRANGE(""https://docs.google.com/spreadsheets/d/1awYsYK3VOup2i3Pq_Yjnu8DRu_mYwSBnCR2QPthd0rU/edit?usp=sharing"",""โฉนดM3!H86"")"),810)</f>
        <v>810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607245</v>
      </c>
      <c r="M357" s="132">
        <f t="shared" ca="1" si="229"/>
        <v>621045</v>
      </c>
      <c r="N357" s="132">
        <f t="shared" ca="1" si="229"/>
        <v>428939.4</v>
      </c>
      <c r="O357" s="132">
        <f t="shared" ref="O357:O365" ca="1" si="230">IF(L357&gt;0,N357*100/L357,0)</f>
        <v>70.636958723414764</v>
      </c>
      <c r="P357" s="132">
        <f t="shared" ref="P357:P365" ca="1" si="231">IF(M357&gt;0,N357*100/M357,0)</f>
        <v>69.06736226843465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607245</v>
      </c>
      <c r="M359" s="46">
        <f t="shared" ca="1" si="235"/>
        <v>621045</v>
      </c>
      <c r="N359" s="46">
        <f t="shared" ca="1" si="235"/>
        <v>428939.4</v>
      </c>
      <c r="O359" s="46">
        <f t="shared" ca="1" si="230"/>
        <v>70.636958723414764</v>
      </c>
      <c r="P359" s="46">
        <f t="shared" ca="1" si="231"/>
        <v>69.06736226843465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607245</v>
      </c>
      <c r="M360" s="46">
        <f t="shared" ca="1" si="237"/>
        <v>621045</v>
      </c>
      <c r="N360" s="46">
        <f t="shared" ca="1" si="237"/>
        <v>428939.4</v>
      </c>
      <c r="O360" s="46">
        <f t="shared" ca="1" si="230"/>
        <v>70.636958723414764</v>
      </c>
      <c r="P360" s="46">
        <f t="shared" ca="1" si="231"/>
        <v>69.06736226843465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IFERROR(__xludf.DUMMYFUNCTION("IMPORTRANGE(""https://docs.google.com/spreadsheets/d/1-uDff_7J0KD5mKrp0Vvzr7lt3OU09vwQwhkpOPPYv2Y/edit?usp=sharing"",""งบพรบ!FC86"")"),607245)</f>
        <v>607245</v>
      </c>
      <c r="M362" s="46">
        <f ca="1">IFERROR(__xludf.DUMMYFUNCTION("IMPORTRANGE(""https://docs.google.com/spreadsheets/d/1-uDff_7J0KD5mKrp0Vvzr7lt3OU09vwQwhkpOPPYv2Y/edit?usp=sharing"",""งบพรบ!FH86"")"),621045)</f>
        <v>621045</v>
      </c>
      <c r="N362" s="46">
        <f ca="1">IFERROR(__xludf.DUMMYFUNCTION("IMPORTRANGE(""https://docs.google.com/spreadsheets/d/1-uDff_7J0KD5mKrp0Vvzr7lt3OU09vwQwhkpOPPYv2Y/edit?usp=sharing"",""งบพรบ!FJ86"")"),428939.4)</f>
        <v>428939.4</v>
      </c>
      <c r="O362" s="46">
        <f t="shared" ca="1" si="230"/>
        <v>70.636958723414764</v>
      </c>
      <c r="P362" s="46">
        <f t="shared" ca="1" si="231"/>
        <v>69.06736226843465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IFERROR(__xludf.DUMMYFUNCTION("IMPORTRANGE(""https://docs.google.com/spreadsheets/d/1-uDff_7J0KD5mKrp0Vvzr7lt3OU09vwQwhkpOPPYv2Y/edit?usp=sharing"",""งบพรบ!FF86"")"),0)</f>
        <v>0</v>
      </c>
      <c r="M365" s="46">
        <f ca="1">IFERROR(__xludf.DUMMYFUNCTION("IMPORTRANGE(""https://docs.google.com/spreadsheets/d/1-uDff_7J0KD5mKrp0Vvzr7lt3OU09vwQwhkpOPPYv2Y/edit?usp=sharing"",""งบพรบ!FI86"")"),0)</f>
        <v>0</v>
      </c>
      <c r="N365" s="46">
        <f ca="1">IFERROR(__xludf.DUMMYFUNCTION("IMPORTRANGE(""https://docs.google.com/spreadsheets/d/1-uDff_7J0KD5mKrp0Vvzr7lt3OU09vwQwhkpOPPYv2Y/edit?usp=sharing"",""งบพรบ!FK86"")"),0)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154</v>
      </c>
      <c r="J366" s="235">
        <f t="shared" ca="1" si="241"/>
        <v>106</v>
      </c>
      <c r="K366" s="236">
        <f ca="1">IF(I366&gt;0,J366*100/I366,0)</f>
        <v>68.831168831168824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IFERROR(__xludf.DUMMYFUNCTION("IMPORTRANGE(""https://docs.google.com/spreadsheets/d/1tdoBKaGub7dwA3U6UFTqxio9LNnvDCQjHKmttSEBsFQ/edit?usp=sharing"",""จัดที่ดิน!AB86"")"),126)</f>
        <v>126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IFERROR(__xludf.DUMMYFUNCTION("IMPORTRANGE(""https://docs.google.com/spreadsheets/d/1eHaY18a8A9IcSdp1K8H6x8fbOy06t2VsZHhMHf-1x7Y/edit?usp=sharing"",""แผน!EW86"")"),1390)</f>
        <v>1390</v>
      </c>
      <c r="J369" s="676">
        <f ca="1">IFERROR(__xludf.DUMMYFUNCTION("IMPORTRANGE(""https://docs.google.com/spreadsheets/d/1tdoBKaGub7dwA3U6UFTqxio9LNnvDCQjHKmttSEBsFQ/edit?usp=sharing"",""จัดที่ดิน!AC86"")"),948.939999999999)</f>
        <v>948.93999999999903</v>
      </c>
      <c r="K369" s="46">
        <f t="shared" ca="1" si="242"/>
        <v>68.269064748201359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IFERROR(__xludf.DUMMYFUNCTION("IMPORTRANGE(""https://docs.google.com/spreadsheets/d/1eHaY18a8A9IcSdp1K8H6x8fbOy06t2VsZHhMHf-1x7Y/edit?usp=sharing"",""แผน!EX86"")"),242)</f>
        <v>242</v>
      </c>
      <c r="J370" s="152">
        <f ca="1">IFERROR(__xludf.DUMMYFUNCTION("IMPORTRANGE(""https://docs.google.com/spreadsheets/d/1tdoBKaGub7dwA3U6UFTqxio9LNnvDCQjHKmttSEBsFQ/edit?usp=sharing"",""จัดที่ดิน!AD86"")"),128)</f>
        <v>128</v>
      </c>
      <c r="K370" s="46">
        <f t="shared" ca="1" si="242"/>
        <v>52.892561983471076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IFERROR(__xludf.DUMMYFUNCTION("IMPORTRANGE(""https://docs.google.com/spreadsheets/d/1tdoBKaGub7dwA3U6UFTqxio9LNnvDCQjHKmttSEBsFQ/edit?usp=sharing"",""จัดที่ดิน!AE86"")"),1320.8)</f>
        <v>1320.8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IFERROR(__xludf.DUMMYFUNCTION("IMPORTRANGE(""https://docs.google.com/spreadsheets/d/1eHaY18a8A9IcSdp1K8H6x8fbOy06t2VsZHhMHf-1x7Y/edit?usp=sharing"",""แผน!EY86"")"),154)</f>
        <v>154</v>
      </c>
      <c r="J372" s="152">
        <f ca="1">IFERROR(__xludf.DUMMYFUNCTION("IMPORTRANGE(""https://docs.google.com/spreadsheets/d/1tdoBKaGub7dwA3U6UFTqxio9LNnvDCQjHKmttSEBsFQ/edit?usp=sharing"",""จัดที่ดิน!AF86"")"),106)</f>
        <v>106</v>
      </c>
      <c r="K372" s="46">
        <f t="shared" ca="1" si="242"/>
        <v>68.831168831168824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IFERROR(__xludf.DUMMYFUNCTION("IMPORTRANGE(""https://docs.google.com/spreadsheets/d/1tdoBKaGub7dwA3U6UFTqxio9LNnvDCQjHKmttSEBsFQ/edit?usp=sharing"",""จัดที่ดิน!AG86"")"),1174.55)</f>
        <v>1174.55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I387+I389</f>
        <v>1000</v>
      </c>
      <c r="J375" s="684">
        <f t="shared" ca="1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62500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62500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62500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IFERROR(__xludf.DUMMYFUNCTION("IMPORTRANGE(""https://docs.google.com/spreadsheets/d/1ItG2mGa2ceCfYo0BwxsXqNm01IGEUdYcSSLTEv9YCik/edit?usp=sharing"",""เบิกจ่ายกองทุน!AY86"")"),62500)</f>
        <v>62500</v>
      </c>
      <c r="R381" s="46">
        <f ca="1">IFERROR(__xludf.DUMMYFUNCTION("IMPORTRANGE(""https://docs.google.com/spreadsheets/d/1ItG2mGa2ceCfYo0BwxsXqNm01IGEUdYcSSLTEv9YCik/edit?usp=sharing"",""เบิกจ่ายกองทุน!AZ86"")"),0)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IFERROR(__xludf.DUMMYFUNCTION("IMPORTRANGE(""https://docs.google.com/spreadsheets/d/1ItG2mGa2ceCfYo0BwxsXqNm01IGEUdYcSSLTEv9YCik/edit?usp=sharing"",""เบิกจ่ายกองทุน!BA86"")"),0)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IFERROR(__xludf.DUMMYFUNCTION("IMPORTRANGE(""https://docs.google.com/spreadsheets/d/1w5rwWK1o49a35cNtocGL0gxDwhFSTZUQu90BiH9_zqM/edit?usp=sharing"",""RTK!H86"")"),0)</f>
        <v>0</v>
      </c>
      <c r="K386" s="46">
        <f t="shared" ref="K386:K389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IFERROR(__xludf.DUMMYFUNCTION("IMPORTRANGE(""https://docs.google.com/spreadsheets/d/1w5rwWK1o49a35cNtocGL0gxDwhFSTZUQu90BiH9_zqM/edit?usp=sharing"",""RTK!G86"")"),1000)</f>
        <v>1000</v>
      </c>
      <c r="J387" s="152">
        <f ca="1">IFERROR(__xludf.DUMMYFUNCTION("IMPORTRANGE(""https://docs.google.com/spreadsheets/d/1w5rwWK1o49a35cNtocGL0gxDwhFSTZUQu90BiH9_zqM/edit?usp=sharing"",""RTK!I86"")"),0)</f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IFERROR(__xludf.DUMMYFUNCTION("IMPORTRANGE(""https://docs.google.com/spreadsheets/d/1w5rwWK1o49a35cNtocGL0gxDwhFSTZUQu90BiH9_zqM/edit?usp=sharing"",""RTK!L86"")"),0)</f>
        <v>0</v>
      </c>
      <c r="K388" s="630">
        <f t="shared" si="256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IFERROR(__xludf.DUMMYFUNCTION("IMPORTRANGE(""https://docs.google.com/spreadsheets/d/1w5rwWK1o49a35cNtocGL0gxDwhFSTZUQu90BiH9_zqM/edit?usp=sharing"",""RTK!K86"")"),0)</f>
        <v>0</v>
      </c>
      <c r="J389" s="691">
        <f ca="1">IFERROR(__xludf.DUMMYFUNCTION("IMPORTRANGE(""https://docs.google.com/spreadsheets/d/1w5rwWK1o49a35cNtocGL0gxDwhFSTZUQu90BiH9_zqM/edit?usp=sharing"",""RTK!M86"")"),0)</f>
        <v>0</v>
      </c>
      <c r="K389" s="630">
        <f t="shared" ca="1" si="256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IFERROR(__xludf.DUMMYFUNCTION("IMPORTRANGE(""https://docs.google.com/spreadsheets/d/1ItG2mGa2ceCfYo0BwxsXqNm01IGEUdYcSSLTEv9YCik/edit?usp=sharing"",""เบิกจ่ายกองทุน!BH86"")"),0)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IFERROR(__xludf.DUMMYFUNCTION("IMPORTRANGE(""https://docs.google.com/spreadsheets/d/1ItG2mGa2ceCfYo0BwxsXqNm01IGEUdYcSSLTEv9YCik/edit?usp=sharing"",""เบิกจ่ายกองทุน!BI86"")"),0)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IFERROR(__xludf.DUMMYFUNCTION("IMPORTRANGE(""https://docs.google.com/spreadsheets/d/1ItG2mGa2ceCfYo0BwxsXqNm01IGEUdYcSSLTEv9YCik/edit?usp=sharing"",""เบิกจ่ายกองทุน!BJ86"")"),0)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IFERROR(__xludf.DUMMYFUNCTION("IMPORTRANGE(""https://docs.google.com/spreadsheets/d/1eHaY18a8A9IcSdp1K8H6x8fbOy06t2VsZHhMHf-1x7Y/edit?usp=sharing"",""แผน!HJ86"")"),0)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IFERROR(__xludf.DUMMYFUNCTION("IMPORTRANGE(""https://docs.google.com/spreadsheets/d/1eHaY18a8A9IcSdp1K8H6x8fbOy06t2VsZHhMHf-1x7Y/edit?usp=sharing"",""แผน!HK86"")"),0)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IFERROR(__xludf.DUMMYFUNCTION("IMPORTRANGE(""https://docs.google.com/spreadsheets/d/1eHaY18a8A9IcSdp1K8H6x8fbOy06t2VsZHhMHf-1x7Y/edit?usp=sharing"",""แผน!HJ86"")"),0)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IFERROR(__xludf.DUMMYFUNCTION("IMPORTRANGE(""https://docs.google.com/spreadsheets/d/1eHaY18a8A9IcSdp1K8H6x8fbOy06t2VsZHhMHf-1x7Y/edit?usp=sharing"",""แผน!HK86"")"),0)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IFERROR(__xludf.DUMMYFUNCTION("IMPORTRANGE(""https://docs.google.com/spreadsheets/d/1eHaY18a8A9IcSdp1K8H6x8fbOy06t2VsZHhMHf-1x7Y/edit?usp=sharing"",""แผน!HJ86"")"),0)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IFERROR(__xludf.DUMMYFUNCTION("IMPORTRANGE(""https://docs.google.com/spreadsheets/d/1eHaY18a8A9IcSdp1K8H6x8fbOy06t2VsZHhMHf-1x7Y/edit?usp=sharing"",""แผน!HK86"")"),0)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IFERROR(__xludf.DUMMYFUNCTION("IMPORTRANGE(""https://docs.google.com/spreadsheets/d/1eHaY18a8A9IcSdp1K8H6x8fbOy06t2VsZHhMHf-1x7Y/edit?usp=sharing"",""แผน!HL86"")"),0)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IFERROR(__xludf.DUMMYFUNCTION("IMPORTRANGE(""https://docs.google.com/spreadsheets/d/1eHaY18a8A9IcSdp1K8H6x8fbOy06t2VsZHhMHf-1x7Y/edit?usp=sharing"",""แผน!HM86"")"),0)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IFERROR(__xludf.DUMMYFUNCTION("IMPORTRANGE(""https://docs.google.com/spreadsheets/d/1eHaY18a8A9IcSdp1K8H6x8fbOy06t2VsZHhMHf-1x7Y/edit?usp=sharing"",""แผน!HN86"")"),0)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IFERROR(__xludf.DUMMYFUNCTION("IMPORTRANGE(""https://docs.google.com/spreadsheets/d/1eHaY18a8A9IcSdp1K8H6x8fbOy06t2VsZHhMHf-1x7Y/edit?usp=sharing"",""แผน!HO86"")"),0)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30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460185</v>
      </c>
      <c r="R494" s="132">
        <f t="shared" ca="1" si="305"/>
        <v>460185</v>
      </c>
      <c r="S494" s="132">
        <f t="shared" ca="1" si="305"/>
        <v>134570</v>
      </c>
      <c r="T494" s="132">
        <f t="shared" ref="T494:T502" ca="1" si="306">IF(Q494&gt;0,S494*100/Q494,0)</f>
        <v>29.242587220357031</v>
      </c>
      <c r="U494" s="132">
        <f t="shared" ref="U494:U502" ca="1" si="307">IF(R494&gt;0,S494*100/R494,0)</f>
        <v>29.242587220357031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460185</v>
      </c>
      <c r="R496" s="46">
        <f t="shared" ca="1" si="309"/>
        <v>460185</v>
      </c>
      <c r="S496" s="46">
        <f t="shared" ca="1" si="309"/>
        <v>134570</v>
      </c>
      <c r="T496" s="46">
        <f t="shared" ca="1" si="306"/>
        <v>29.242587220357031</v>
      </c>
      <c r="U496" s="46">
        <f t="shared" ca="1" si="307"/>
        <v>29.242587220357031</v>
      </c>
    </row>
    <row r="497" spans="1:21" ht="18.75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460185</v>
      </c>
      <c r="R497" s="46">
        <f t="shared" ca="1" si="311"/>
        <v>460185</v>
      </c>
      <c r="S497" s="46">
        <f t="shared" ca="1" si="311"/>
        <v>134570</v>
      </c>
      <c r="T497" s="46">
        <f t="shared" ca="1" si="306"/>
        <v>29.242587220357031</v>
      </c>
      <c r="U497" s="46">
        <f t="shared" ca="1" si="307"/>
        <v>29.242587220357031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IFERROR(__xludf.DUMMYFUNCTION("IMPORTRANGE(""https://docs.google.com/spreadsheets/d/1ItG2mGa2ceCfYo0BwxsXqNm01IGEUdYcSSLTEv9YCik/edit?usp=sharing"",""เบิกจ่ายกองทุน!X86"")"),460185)</f>
        <v>460185</v>
      </c>
      <c r="R499" s="46">
        <f ca="1">IFERROR(__xludf.DUMMYFUNCTION("IMPORTRANGE(""https://docs.google.com/spreadsheets/d/1ItG2mGa2ceCfYo0BwxsXqNm01IGEUdYcSSLTEv9YCik/edit?usp=sharing"",""เบิกจ่ายกองทุน!Y86"")"),460185)</f>
        <v>460185</v>
      </c>
      <c r="S499" s="46">
        <f ca="1">IFERROR(__xludf.DUMMYFUNCTION("IMPORTRANGE(""https://docs.google.com/spreadsheets/d/1ItG2mGa2ceCfYo0BwxsXqNm01IGEUdYcSSLTEv9YCik/edit?usp=sharing"",""เบิกจ่ายกองทุน!Z86"")"),134570)</f>
        <v>134570</v>
      </c>
      <c r="T499" s="46">
        <f t="shared" ca="1" si="306"/>
        <v>29.242587220357031</v>
      </c>
      <c r="U499" s="46">
        <f t="shared" ca="1" si="307"/>
        <v>29.242587220357031</v>
      </c>
    </row>
    <row r="500" spans="1:21" ht="18.75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IFERROR(__xludf.DUMMYFUNCTION("IMPORTRANGE(""https://docs.google.com/spreadsheets/d/1eHaY18a8A9IcSdp1K8H6x8fbOy06t2VsZHhMHf-1x7Y/edit?usp=sharing"",""แผน!GX86"")"),30)</f>
        <v>30</v>
      </c>
      <c r="J504" s="147">
        <f ca="1">IF(AND(J505=I504,J506=I504,J507=I504,J508=I504),I504,0)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IFERROR(__xludf.DUMMYFUNCTION("IMPORTRANGE(""https://docs.google.com/spreadsheets/d/1eHaY18a8A9IcSdp1K8H6x8fbOy06t2VsZHhMHf-1x7Y/edit?usp=sharing"",""แผน!GY86"")"),0)</f>
        <v>0</v>
      </c>
      <c r="J505" s="168">
        <v>30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IFERROR(__xludf.DUMMYFUNCTION("IMPORTRANGE(""https://docs.google.com/spreadsheets/d/1eHaY18a8A9IcSdp1K8H6x8fbOy06t2VsZHhMHf-1x7Y/edit?usp=sharing"",""แผน!GZ86"")"),0)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IFERROR(__xludf.DUMMYFUNCTION("IMPORTRANGE(""https://docs.google.com/spreadsheets/d/1eHaY18a8A9IcSdp1K8H6x8fbOy06t2VsZHhMHf-1x7Y/edit?usp=sharing"",""แผน!HA86"")"),0)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IFERROR(__xludf.DUMMYFUNCTION("IMPORTRANGE(""https://docs.google.com/spreadsheets/d/1eHaY18a8A9IcSdp1K8H6x8fbOy06t2VsZHhMHf-1x7Y/edit?usp=sharing"",""แผน!HB86"")"),0)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IFERROR(__xludf.DUMMYFUNCTION("IMPORTRANGE(""https://docs.google.com/spreadsheets/d/1eHaY18a8A9IcSdp1K8H6x8fbOy06t2VsZHhMHf-1x7Y/edit?usp=sharing"",""แผน!HC86"")"),0)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IFERROR(__xludf.DUMMYFUNCTION("IMPORTRANGE(""https://docs.google.com/spreadsheets/d/1-uDff_7J0KD5mKrp0Vvzr7lt3OU09vwQwhkpOPPYv2Y/edit?usp=sharing"",""งบพรบ!FM86"")"),0)</f>
        <v>0</v>
      </c>
      <c r="M519" s="46">
        <f ca="1">IFERROR(__xludf.DUMMYFUNCTION("IMPORTRANGE(""https://docs.google.com/spreadsheets/d/1-uDff_7J0KD5mKrp0Vvzr7lt3OU09vwQwhkpOPPYv2Y/edit?usp=sharing"",""งบพรบ!FR86"")"),0)</f>
        <v>0</v>
      </c>
      <c r="N519" s="46">
        <f ca="1">IFERROR(__xludf.DUMMYFUNCTION("IMPORTRANGE(""https://docs.google.com/spreadsheets/d/1-uDff_7J0KD5mKrp0Vvzr7lt3OU09vwQwhkpOPPYv2Y/edit?usp=sharing"",""งบพรบ!FT86"")"),0)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IFERROR(__xludf.DUMMYFUNCTION("IMPORTRANGE(""https://docs.google.com/spreadsheets/d/1-uDff_7J0KD5mKrp0Vvzr7lt3OU09vwQwhkpOPPYv2Y/edit?usp=sharing"",""งบพรบ!FP86"")"),0)</f>
        <v>0</v>
      </c>
      <c r="M522" s="46">
        <f ca="1">IFERROR(__xludf.DUMMYFUNCTION("IMPORTRANGE(""https://docs.google.com/spreadsheets/d/1-uDff_7J0KD5mKrp0Vvzr7lt3OU09vwQwhkpOPPYv2Y/edit?usp=sharing"",""งบพรบ!FS86"")"),0)</f>
        <v>0</v>
      </c>
      <c r="N522" s="46">
        <f ca="1">IFERROR(__xludf.DUMMYFUNCTION("IMPORTRANGE(""https://docs.google.com/spreadsheets/d/1-uDff_7J0KD5mKrp0Vvzr7lt3OU09vwQwhkpOPPYv2Y/edit?usp=sharing"",""งบพรบ!FU86"")"),0)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50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6900</v>
      </c>
      <c r="R617" s="132">
        <f t="shared" ca="1" si="384"/>
        <v>6900</v>
      </c>
      <c r="S617" s="132">
        <f t="shared" ca="1" si="384"/>
        <v>1000</v>
      </c>
      <c r="T617" s="132">
        <f t="shared" ref="T617:T625" ca="1" si="385">IF(Q617&gt;0,S617*100/Q617,0)</f>
        <v>14.492753623188406</v>
      </c>
      <c r="U617" s="132">
        <f t="shared" ref="U617:U625" ca="1" si="386">IF(R617&gt;0,S617*100/R617,0)</f>
        <v>14.492753623188406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6900</v>
      </c>
      <c r="R619" s="46">
        <f t="shared" ca="1" si="388"/>
        <v>6900</v>
      </c>
      <c r="S619" s="46">
        <f t="shared" ca="1" si="388"/>
        <v>1000</v>
      </c>
      <c r="T619" s="46">
        <f t="shared" ca="1" si="385"/>
        <v>14.492753623188406</v>
      </c>
      <c r="U619" s="46">
        <f t="shared" ca="1" si="386"/>
        <v>14.492753623188406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6900</v>
      </c>
      <c r="R620" s="46">
        <f t="shared" ca="1" si="390"/>
        <v>6900</v>
      </c>
      <c r="S620" s="46">
        <f t="shared" ca="1" si="390"/>
        <v>1000</v>
      </c>
      <c r="T620" s="46">
        <f t="shared" ca="1" si="385"/>
        <v>14.492753623188406</v>
      </c>
      <c r="U620" s="46">
        <f t="shared" ca="1" si="386"/>
        <v>14.492753623188406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IFERROR(__xludf.DUMMYFUNCTION("IMPORTRANGE(""https://docs.google.com/spreadsheets/d/1ItG2mGa2ceCfYo0BwxsXqNm01IGEUdYcSSLTEv9YCik/edit?usp=sharing"",""เบิกจ่ายกองทุน!F86"")"),6900)</f>
        <v>6900</v>
      </c>
      <c r="R622" s="46">
        <f ca="1">IFERROR(__xludf.DUMMYFUNCTION("IMPORTRANGE(""https://docs.google.com/spreadsheets/d/1ItG2mGa2ceCfYo0BwxsXqNm01IGEUdYcSSLTEv9YCik/edit?usp=sharing"",""เบิกจ่ายกองทุน!G86"")"),6900)</f>
        <v>6900</v>
      </c>
      <c r="S622" s="46">
        <f ca="1">IFERROR(__xludf.DUMMYFUNCTION("IMPORTRANGE(""https://docs.google.com/spreadsheets/d/1ItG2mGa2ceCfYo0BwxsXqNm01IGEUdYcSSLTEv9YCik/edit?usp=sharing"",""เบิกจ่ายกองทุน!H86"")"),1000)</f>
        <v>1000</v>
      </c>
      <c r="T622" s="46">
        <f t="shared" ca="1" si="385"/>
        <v>14.492753623188406</v>
      </c>
      <c r="U622" s="46">
        <f t="shared" ca="1" si="386"/>
        <v>14.492753623188406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IFERROR(__xludf.DUMMYFUNCTION("IMPORTRANGE(""https://docs.google.com/spreadsheets/d/1eHaY18a8A9IcSdp1K8H6x8fbOy06t2VsZHhMHf-1x7Y/edit?usp=sharing"",""แผน!ID86"")"),50)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8">
        <v>0</v>
      </c>
      <c r="K628" s="46">
        <f t="shared" ref="K628:K629" ca="1" si="393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IFERROR(__xludf.DUMMYFUNCTION("IMPORTRANGE(""https://docs.google.com/spreadsheets/d/1eHaY18a8A9IcSdp1K8H6x8fbOy06t2VsZHhMHf-1x7Y/edit?usp=sharing"",""แผน!IC86"")"),0)</f>
        <v>0</v>
      </c>
      <c r="J629" s="168">
        <v>0</v>
      </c>
      <c r="K629" s="46">
        <f t="shared" ca="1" si="393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IFERROR(__xludf.DUMMYFUNCTION("IMPORTRANGE(""https://docs.google.com/spreadsheets/d/1eHaY18a8A9IcSdp1K8H6x8fbOy06t2VsZHhMHf-1x7Y/edit?usp=sharing"",""แผน!IE86"")"),0)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IFERROR(__xludf.DUMMYFUNCTION("IMPORTRANGE(""https://docs.google.com/spreadsheets/d/1ItG2mGa2ceCfYo0BwxsXqNm01IGEUdYcSSLTEv9YCik/edit?usp=sharing"",""เบิกจ่ายกองทุน!I86"")"),0)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IFERROR(__xludf.DUMMYFUNCTION("IMPORTRANGE(""https://docs.google.com/spreadsheets/d/1ItG2mGa2ceCfYo0BwxsXqNm01IGEUdYcSSLTEv9YCik/edit?usp=sharing"",""เบิกจ่ายกองทุน!J86"")"),0)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IFERROR(__xludf.DUMMYFUNCTION("IMPORTRANGE(""https://docs.google.com/spreadsheets/d/1ItG2mGa2ceCfYo0BwxsXqNm01IGEUdYcSSLTEv9YCik/edit?usp=sharing"",""เบิกจ่ายกองทุน!K86"")"),0)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IFERROR(__xludf.DUMMYFUNCTION("IMPORTRANGE(""https://docs.google.com/spreadsheets/d/1eHaY18a8A9IcSdp1K8H6x8fbOy06t2VsZHhMHf-1x7Y/edit?usp=sharing"",""แผน!IF86"")"),0)</f>
        <v>0</v>
      </c>
      <c r="J653" s="152">
        <f ca="1">IFERROR(__xludf.DUMMYFUNCTION("IMPORTRANGE(""https://docs.google.com/spreadsheets/d/1tdoBKaGub7dwA3U6UFTqxio9LNnvDCQjHKmttSEBsFQ/edit?usp=sharing"",""จัดที่ดิน!AU86"")"),0)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IFERROR(__xludf.DUMMYFUNCTION("IMPORTRANGE(""https://docs.google.com/spreadsheets/d/1eHaY18a8A9IcSdp1K8H6x8fbOy06t2VsZHhMHf-1x7Y/edit?usp=sharing"",""แผน!IG86"")"),0)</f>
        <v>0</v>
      </c>
      <c r="J654" s="152">
        <f ca="1">IFERROR(__xludf.DUMMYFUNCTION("IMPORTRANGE(""https://docs.google.com/spreadsheets/d/1tdoBKaGub7dwA3U6UFTqxio9LNnvDCQjHKmttSEBsFQ/edit?usp=sharing"",""จัดที่ดิน!AW86"")"),0)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IFERROR(__xludf.DUMMYFUNCTION("IMPORTRANGE(""https://docs.google.com/spreadsheets/d/1eHaY18a8A9IcSdp1K8H6x8fbOy06t2VsZHhMHf-1x7Y/edit?usp=sharing"",""แผน!IH86"")"),0)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IFERROR(__xludf.DUMMYFUNCTION("IMPORTRANGE(""https://docs.google.com/spreadsheets/d/1eHaY18a8A9IcSdp1K8H6x8fbOy06t2VsZHhMHf-1x7Y/edit?usp=sharing"",""แผน!II86"")"),0)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IFERROR(__xludf.DUMMYFUNCTION("IMPORTRANGE(""https://docs.google.com/spreadsheets/d/1eHaY18a8A9IcSdp1K8H6x8fbOy06t2VsZHhMHf-1x7Y/edit?usp=sharing"",""แผน!IJ86"")"),0)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IFERROR(__xludf.DUMMYFUNCTION("IMPORTRANGE(""https://docs.google.com/spreadsheets/d/1eHaY18a8A9IcSdp1K8H6x8fbOy06t2VsZHhMHf-1x7Y/edit?usp=sharing"",""แผน!IK86"")"),0)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IFERROR(__xludf.DUMMYFUNCTION("IMPORTRANGE(""https://docs.google.com/spreadsheets/d/1tdoBKaGub7dwA3U6UFTqxio9LNnvDCQjHKmttSEBsFQ/edit?usp=sharing"",""จัดที่ดิน!AY86"")"),0)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IFERROR(__xludf.DUMMYFUNCTION("IMPORTRANGE(""https://docs.google.com/spreadsheets/d/1tdoBKaGub7dwA3U6UFTqxio9LNnvDCQjHKmttSEBsFQ/edit?usp=sharing"",""จัดที่ดิน!AZ86"")"),0)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IFERROR(__xludf.DUMMYFUNCTION("IMPORTRANGE(""https://docs.google.com/spreadsheets/d/1eHaY18a8A9IcSdp1K8H6x8fbOy06t2VsZHhMHf-1x7Y/edit?usp=sharing"",""แผน!IL86"")"),0)</f>
        <v>0</v>
      </c>
      <c r="J674" s="152">
        <f ca="1">IFERROR(__xludf.DUMMYFUNCTION("IMPORTRANGE(""https://docs.google.com/spreadsheets/d/1tdoBKaGub7dwA3U6UFTqxio9LNnvDCQjHKmttSEBsFQ/edit?usp=sharing"",""จัดที่ดิน!BA86"")"),0)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IFERROR(__xludf.DUMMYFUNCTION("IMPORTRANGE(""https://docs.google.com/spreadsheets/d/1eHaY18a8A9IcSdp1K8H6x8fbOy06t2VsZHhMHf-1x7Y/edit?usp=sharing"",""แผน!IM86"")"),0)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IFERROR(__xludf.DUMMYFUNCTION("IMPORTRANGE(""https://docs.google.com/spreadsheets/d/1eHaY18a8A9IcSdp1K8H6x8fbOy06t2VsZHhMHf-1x7Y/edit?usp=sharing"",""แผน!IN86"")"),0)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IFERROR(__xludf.DUMMYFUNCTION("IMPORTRANGE(""https://docs.google.com/spreadsheets/d/1eHaY18a8A9IcSdp1K8H6x8fbOy06t2VsZHhMHf-1x7Y/edit?usp=sharing"",""แผน!IO86"")"),0)</f>
        <v>0</v>
      </c>
      <c r="J677" s="152">
        <f ca="1">IFERROR(__xludf.DUMMYFUNCTION("IMPORTRANGE(""https://docs.google.com/spreadsheets/d/1tdoBKaGub7dwA3U6UFTqxio9LNnvDCQjHKmttSEBsFQ/edit?usp=sharing"",""จัดที่ดิน!BF86"")"),0)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IFERROR(__xludf.DUMMYFUNCTION("IMPORTRANGE(""https://docs.google.com/spreadsheets/d/1tdoBKaGub7dwA3U6UFTqxio9LNnvDCQjHKmttSEBsFQ/edit?usp=sharing"",""จัดที่ดิน!BG86"")"),0)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IFERROR(__xludf.DUMMYFUNCTION("IMPORTRANGE(""https://docs.google.com/spreadsheets/d/1eHaY18a8A9IcSdp1K8H6x8fbOy06t2VsZHhMHf-1x7Y/edit?usp=sharing"",""แผน!IP86"")"),0)</f>
        <v>0</v>
      </c>
      <c r="J679" s="152">
        <f ca="1">IFERROR(__xludf.DUMMYFUNCTION("IMPORTRANGE(""https://docs.google.com/spreadsheets/d/1tdoBKaGub7dwA3U6UFTqxio9LNnvDCQjHKmttSEBsFQ/edit?usp=sharing"",""จัดที่ดิน!BH86"")"),0)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IFERROR(__xludf.DUMMYFUNCTION("IMPORTRANGE(""https://docs.google.com/spreadsheets/d/1eHaY18a8A9IcSdp1K8H6x8fbOy06t2VsZHhMHf-1x7Y/edit?usp=sharing"",""แผน!IQ86"")"),0)</f>
        <v>0</v>
      </c>
      <c r="J680" s="152">
        <f ca="1">IFERROR(__xludf.DUMMYFUNCTION("IMPORTRANGE(""https://docs.google.com/spreadsheets/d/1tdoBKaGub7dwA3U6UFTqxio9LNnvDCQjHKmttSEBsFQ/edit?usp=sharing"",""จัดที่ดิน!BK86"")"),0)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IFERROR(__xludf.DUMMYFUNCTION("IMPORTRANGE(""https://docs.google.com/spreadsheets/d/1tdoBKaGub7dwA3U6UFTqxio9LNnvDCQjHKmttSEBsFQ/edit?usp=sharing"",""จัดที่ดิน!BL86"")"),0)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IFERROR(__xludf.DUMMYFUNCTION("IMPORTRANGE(""https://docs.google.com/spreadsheets/d/1eHaY18a8A9IcSdp1K8H6x8fbOy06t2VsZHhMHf-1x7Y/edit?usp=sharing"",""แผน!IR86"")"),0)</f>
        <v>0</v>
      </c>
      <c r="J682" s="152">
        <f ca="1">IFERROR(__xludf.DUMMYFUNCTION("IMPORTRANGE(""https://docs.google.com/spreadsheets/d/1tdoBKaGub7dwA3U6UFTqxio9LNnvDCQjHKmttSEBsFQ/edit?usp=sharing"",""จัดที่ดิน!BM86"")"),0)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IFERROR(__xludf.DUMMYFUNCTION("IMPORTRANGE(""https://docs.google.com/spreadsheets/d/1eHaY18a8A9IcSdp1K8H6x8fbOy06t2VsZHhMHf-1x7Y/edit?usp=sharing"",""แผน!IS86"")"),0)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69540</v>
      </c>
      <c r="R691" s="132">
        <f t="shared" ca="1" si="415"/>
        <v>69540</v>
      </c>
      <c r="S691" s="132">
        <f t="shared" ca="1" si="415"/>
        <v>0</v>
      </c>
      <c r="T691" s="132">
        <f t="shared" ref="T691:T699" ca="1" si="416">IF(Q691&gt;0,S691*100/Q691,0)</f>
        <v>0</v>
      </c>
      <c r="U691" s="132">
        <f t="shared" ref="U691:U699" ca="1" si="417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69540</v>
      </c>
      <c r="R693" s="46">
        <f t="shared" ca="1" si="419"/>
        <v>69540</v>
      </c>
      <c r="S693" s="46">
        <f t="shared" ca="1" si="419"/>
        <v>0</v>
      </c>
      <c r="T693" s="46">
        <f t="shared" ca="1" si="416"/>
        <v>0</v>
      </c>
      <c r="U693" s="46">
        <f t="shared" ca="1" si="417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69540</v>
      </c>
      <c r="R694" s="46">
        <f t="shared" ca="1" si="421"/>
        <v>69540</v>
      </c>
      <c r="S694" s="46">
        <f t="shared" ca="1" si="421"/>
        <v>0</v>
      </c>
      <c r="T694" s="46">
        <f t="shared" ca="1" si="416"/>
        <v>0</v>
      </c>
      <c r="U694" s="46">
        <f t="shared" ca="1" si="417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6" s="46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6" s="46">
        <f ca="1">IFERROR(__xludf.DUMMYFUNCTION("IMPORTRANGE(""https://docs.google.com/spreadsheets/d/1ItG2mGa2ceCfYo0BwxsXqNm01IGEUdYcSSLTEv9YCik/edit?usp=sharing"",""เบิกจ่ายกองทุน!N86"")"),0)</f>
        <v>0</v>
      </c>
      <c r="T696" s="46">
        <f t="shared" ca="1" si="416"/>
        <v>0</v>
      </c>
      <c r="U696" s="46">
        <f t="shared" ca="1" si="417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IFERROR(__xludf.DUMMYFUNCTION("IMPORTRANGE(""https://docs.google.com/spreadsheets/d/1eHaY18a8A9IcSdp1K8H6x8fbOy06t2VsZHhMHf-1x7Y/edit?usp=sharing"",""แผน!LC86"")"),0)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3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IFERROR(__xludf.DUMMYFUNCTION("IMPORTRANGE(""https://docs.google.com/spreadsheets/d/1eHaY18a8A9IcSdp1K8H6x8fbOy06t2VsZHhMHf-1x7Y/edit?usp=sharing"",""แผน!LJ86"")"),0)</f>
        <v>0</v>
      </c>
      <c r="J704" s="152">
        <f ca="1">IFERROR(__xludf.DUMMYFUNCTION("IMPORTRANGE(""https://docs.google.com/spreadsheets/d/1tdoBKaGub7dwA3U6UFTqxio9LNnvDCQjHKmttSEBsFQ/edit?usp=sharing"",""จัดที่ดิน!AP86"")"),0)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IFERROR(__xludf.DUMMYFUNCTION("IMPORTRANGE(""https://docs.google.com/spreadsheets/d/1tdoBKaGub7dwA3U6UFTqxio9LNnvDCQjHKmttSEBsFQ/edit?usp=sharing"",""จัดที่ดิน!AQ86"")"),0)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IFERROR(__xludf.DUMMYFUNCTION("IMPORTRANGE(""https://docs.google.com/spreadsheets/d/1eHaY18a8A9IcSdp1K8H6x8fbOy06t2VsZHhMHf-1x7Y/edit?usp=sharing"",""แผน!LK86"")"),3)</f>
        <v>3</v>
      </c>
      <c r="J706" s="152">
        <f ca="1">IFERROR(__xludf.DUMMYFUNCTION("IMPORTRANGE(""https://docs.google.com/spreadsheets/d/1tdoBKaGub7dwA3U6UFTqxio9LNnvDCQjHKmttSEBsFQ/edit?usp=sharing"",""จัดที่ดิน!AR86"")"),0)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IFERROR(__xludf.DUMMYFUNCTION("IMPORTRANGE(""https://docs.google.com/spreadsheets/d/1tdoBKaGub7dwA3U6UFTqxio9LNnvDCQjHKmttSEBsFQ/edit?usp=sharing"",""จัดที่ดิน!AS86"")"),0)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IFERROR(__xludf.DUMMYFUNCTION("IMPORTRANGE(""https://docs.google.com/spreadsheets/d/1eHaY18a8A9IcSdp1K8H6x8fbOy06t2VsZHhMHf-1x7Y/edit?usp=sharing"",""แผน!LJ86"")"),0)</f>
        <v>0</v>
      </c>
      <c r="J708" s="152">
        <f ca="1">IFERROR(__xludf.DUMMYFUNCTION("IMPORTRANGE(""https://docs.google.com/spreadsheets/d/1tdoBKaGub7dwA3U6UFTqxio9LNnvDCQjHKmttSEBsFQ/edit?usp=sharing"",""จัดที่ดิน!BN86"")"),0)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IFERROR(__xludf.DUMMYFUNCTION("IMPORTRANGE(""https://docs.google.com/spreadsheets/d/1tdoBKaGub7dwA3U6UFTqxio9LNnvDCQjHKmttSEBsFQ/edit?usp=sharing"",""จัดที่ดิน!BO86"")"),0)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IFERROR(__xludf.DUMMYFUNCTION("IMPORTRANGE(""https://docs.google.com/spreadsheets/d/1eHaY18a8A9IcSdp1K8H6x8fbOy06t2VsZHhMHf-1x7Y/edit?usp=sharing"",""แผน!LK86"")"),3)</f>
        <v>3</v>
      </c>
      <c r="J710" s="152">
        <f ca="1">IFERROR(__xludf.DUMMYFUNCTION("IMPORTRANGE(""https://docs.google.com/spreadsheets/d/1tdoBKaGub7dwA3U6UFTqxio9LNnvDCQjHKmttSEBsFQ/edit?usp=sharing"",""จัดที่ดิน!BP86"")"),0)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IFERROR(__xludf.DUMMYFUNCTION("IMPORTRANGE(""https://docs.google.com/spreadsheets/d/1tdoBKaGub7dwA3U6UFTqxio9LNnvDCQjHKmttSEBsFQ/edit?usp=sharing"",""จัดที่ดิน!BQ86"")"),0)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IFERROR(__xludf.DUMMYFUNCTION("IMPORTRANGE(""https://docs.google.com/spreadsheets/d/1eHaY18a8A9IcSdp1K8H6x8fbOy06t2VsZHhMHf-1x7Y/edit?usp=sharing"",""แผน!GA86"")"),11)</f>
        <v>11</v>
      </c>
      <c r="J727" s="448">
        <f>J743+J747+J750</f>
        <v>10</v>
      </c>
      <c r="K727" s="449">
        <f t="shared" ref="K727:K728" ca="1" si="438">IF(I727&gt;0,J727*100/I727,0)</f>
        <v>90.909090909090907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IFERROR(__xludf.DUMMYFUNCTION("IMPORTRANGE(""https://docs.google.com/spreadsheets/d/1eHaY18a8A9IcSdp1K8H6x8fbOy06t2VsZHhMHf-1x7Y/edit?usp=sharing"",""แผน!FZ86"")"),100)</f>
        <v>100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111882</v>
      </c>
      <c r="R729" s="132">
        <f t="shared" ca="1" si="442"/>
        <v>111882</v>
      </c>
      <c r="S729" s="132">
        <f t="shared" ca="1" si="442"/>
        <v>14080</v>
      </c>
      <c r="T729" s="132">
        <f t="shared" ref="T729:T737" ca="1" si="443">IF(Q729&gt;0,S729*100/Q729,0)</f>
        <v>12.584687438551331</v>
      </c>
      <c r="U729" s="132">
        <f t="shared" ref="U729:U737" ca="1" si="444">IF(R729&gt;0,S729*100/R729,0)</f>
        <v>12.584687438551331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111882</v>
      </c>
      <c r="R731" s="46">
        <f t="shared" ca="1" si="446"/>
        <v>111882</v>
      </c>
      <c r="S731" s="46">
        <f t="shared" ca="1" si="446"/>
        <v>14080</v>
      </c>
      <c r="T731" s="46">
        <f t="shared" ca="1" si="443"/>
        <v>12.584687438551331</v>
      </c>
      <c r="U731" s="46">
        <f t="shared" ca="1" si="444"/>
        <v>12.584687438551331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111882</v>
      </c>
      <c r="R732" s="46">
        <f t="shared" ca="1" si="448"/>
        <v>111882</v>
      </c>
      <c r="S732" s="46">
        <f t="shared" ca="1" si="448"/>
        <v>14080</v>
      </c>
      <c r="T732" s="46">
        <f t="shared" ca="1" si="443"/>
        <v>12.584687438551331</v>
      </c>
      <c r="U732" s="46">
        <f t="shared" ca="1" si="444"/>
        <v>12.584687438551331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4" s="46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4" s="46">
        <f ca="1">IFERROR(__xludf.DUMMYFUNCTION("IMPORTRANGE(""https://docs.google.com/spreadsheets/d/1ItG2mGa2ceCfYo0BwxsXqNm01IGEUdYcSSLTEv9YCik/edit?usp=sharing"",""เบิกจ่ายกองทุน!Q86"")"),14080)</f>
        <v>14080</v>
      </c>
      <c r="T734" s="46">
        <f t="shared" ca="1" si="443"/>
        <v>12.584687438551331</v>
      </c>
      <c r="U734" s="46">
        <f t="shared" ca="1" si="444"/>
        <v>12.584687438551331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IFERROR(__xludf.DUMMYFUNCTION("IMPORTRANGE(""https://docs.google.com/spreadsheets/d/1eHaY18a8A9IcSdp1K8H6x8fbOy06t2VsZHhMHf-1x7Y/edit?usp=sharing"",""แผน!GB86"")"),80)</f>
        <v>80</v>
      </c>
      <c r="J741" s="723">
        <v>80</v>
      </c>
      <c r="K741" s="630">
        <f ca="1">IF(I741&gt;0,J741*100/I741,0)</f>
        <v>100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IFERROR(__xludf.DUMMYFUNCTION("IMPORTRANGE(""https://docs.google.com/spreadsheets/d/1eHaY18a8A9IcSdp1K8H6x8fbOy06t2VsZHhMHf-1x7Y/edit?usp=sharing"",""แผน!GC86"")"),8)</f>
        <v>8</v>
      </c>
      <c r="J743" s="723">
        <v>8</v>
      </c>
      <c r="K743" s="630">
        <f ca="1">IF(I743&gt;0,J743*100/I743,0)</f>
        <v>100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IFERROR(__xludf.DUMMYFUNCTION("IMPORTRANGE(""https://docs.google.com/spreadsheets/d/1eHaY18a8A9IcSdp1K8H6x8fbOy06t2VsZHhMHf-1x7Y/edit?usp=sharing"",""แผน!GD86"")"),20)</f>
        <v>20</v>
      </c>
      <c r="J745" s="723">
        <v>20</v>
      </c>
      <c r="K745" s="630">
        <f ca="1">IF(I745&gt;0,J745*100/I745,0)</f>
        <v>100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IFERROR(__xludf.DUMMYFUNCTION("IMPORTRANGE(""https://docs.google.com/spreadsheets/d/1eHaY18a8A9IcSdp1K8H6x8fbOy06t2VsZHhMHf-1x7Y/edit?usp=sharing"",""แผน!GE86"")"),2)</f>
        <v>2</v>
      </c>
      <c r="J747" s="723">
        <v>2</v>
      </c>
      <c r="K747" s="630">
        <f ca="1">IF(I747&gt;0,J747*100/I747,0)</f>
        <v>100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IFERROR(__xludf.DUMMYFUNCTION("IMPORTRANGE(""https://docs.google.com/spreadsheets/d/1eHaY18a8A9IcSdp1K8H6x8fbOy06t2VsZHhMHf-1x7Y/edit?usp=sharing"",""แผน!GF86"")"),1)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IFERROR(__xludf.DUMMYFUNCTION("IMPORTRANGE(""https://docs.google.com/spreadsheets/d/1eHaY18a8A9IcSdp1K8H6x8fbOy06t2VsZHhMHf-1x7Y/edit?usp=sharing"",""แผน!GB86"")"),80)</f>
        <v>80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IFERROR(__xludf.DUMMYFUNCTION("IMPORTRANGE(""https://docs.google.com/spreadsheets/d/1eHaY18a8A9IcSdp1K8H6x8fbOy06t2VsZHhMHf-1x7Y/edit?usp=sharing"",""แผน!GD86"")"),20)</f>
        <v>20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hidden="1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hidden="1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hidden="1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0</v>
      </c>
      <c r="R761" s="132">
        <f t="shared" ca="1" si="457"/>
        <v>0</v>
      </c>
      <c r="S761" s="132">
        <f t="shared" ca="1" si="457"/>
        <v>0</v>
      </c>
      <c r="T761" s="132">
        <f t="shared" ref="T761:T769" ca="1" si="458">IF(Q761&gt;0,S761*100/Q761,0)</f>
        <v>0</v>
      </c>
      <c r="U761" s="132">
        <f t="shared" ref="U761:U769" ca="1" si="459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0</v>
      </c>
      <c r="R763" s="46">
        <f t="shared" ca="1" si="461"/>
        <v>0</v>
      </c>
      <c r="S763" s="46">
        <f t="shared" ca="1" si="461"/>
        <v>0</v>
      </c>
      <c r="T763" s="46">
        <f t="shared" ca="1" si="458"/>
        <v>0</v>
      </c>
      <c r="U763" s="46">
        <f t="shared" ca="1" si="459"/>
        <v>0</v>
      </c>
    </row>
    <row r="764" spans="1:21" ht="18.75" hidden="1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0</v>
      </c>
      <c r="R764" s="46">
        <f t="shared" ca="1" si="463"/>
        <v>0</v>
      </c>
      <c r="S764" s="46">
        <f t="shared" ca="1" si="463"/>
        <v>0</v>
      </c>
      <c r="T764" s="46">
        <f t="shared" ca="1" si="458"/>
        <v>0</v>
      </c>
      <c r="U764" s="46">
        <f t="shared" ca="1" si="459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IFERROR(__xludf.DUMMYFUNCTION("IMPORTRANGE(""https://docs.google.com/spreadsheets/d/1ItG2mGa2ceCfYo0BwxsXqNm01IGEUdYcSSLTEv9YCik/edit?usp=sharing"",""เบิกจ่ายกองทุน!U86"")"),0)</f>
        <v>0</v>
      </c>
      <c r="R766" s="46">
        <f ca="1">IFERROR(__xludf.DUMMYFUNCTION("IMPORTRANGE(""https://docs.google.com/spreadsheets/d/1ItG2mGa2ceCfYo0BwxsXqNm01IGEUdYcSSLTEv9YCik/edit?usp=sharing"",""เบิกจ่ายกองทุน!V86"")"),0)</f>
        <v>0</v>
      </c>
      <c r="S766" s="46">
        <f ca="1">IFERROR(__xludf.DUMMYFUNCTION("IMPORTRANGE(""https://docs.google.com/spreadsheets/d/1ItG2mGa2ceCfYo0BwxsXqNm01IGEUdYcSSLTEv9YCik/edit?usp=sharing"",""เบิกจ่ายกองทุน!W86"")"),0)</f>
        <v>0</v>
      </c>
      <c r="T766" s="46">
        <f t="shared" ca="1" si="458"/>
        <v>0</v>
      </c>
      <c r="U766" s="46">
        <f t="shared" ca="1" si="459"/>
        <v>0</v>
      </c>
    </row>
    <row r="767" spans="1:21" ht="18.75" hidden="1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hidden="1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IFERROR(__xludf.DUMMYFUNCTION("IMPORTRANGE(""https://docs.google.com/spreadsheets/d/1eHaY18a8A9IcSdp1K8H6x8fbOy06t2VsZHhMHf-1x7Y/edit?usp=sharing"",""แผน!FI86"")"),0)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IFERROR(__xludf.DUMMYFUNCTION("IMPORTRANGE(""https://docs.google.com/spreadsheets/d/1eHaY18a8A9IcSdp1K8H6x8fbOy06t2VsZHhMHf-1x7Y/edit?usp=sharing"",""แผน!FQ86"")"),0)</f>
        <v>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IFERROR(__xludf.DUMMYFUNCTION("IMPORTRANGE(""https://docs.google.com/spreadsheets/d/1eHaY18a8A9IcSdp1K8H6x8fbOy06t2VsZHhMHf-1x7Y/edit?usp=sharing"",""แผน!FR86"")"),0)</f>
        <v>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IFERROR(__xludf.DUMMYFUNCTION("IMPORTRANGE(""https://docs.google.com/spreadsheets/d/1eHaY18a8A9IcSdp1K8H6x8fbOy06t2VsZHhMHf-1x7Y/edit?usp=sharing"",""แผน!FS86"")"),0)</f>
        <v>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hidden="1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IFERROR(__xludf.DUMMYFUNCTION("IMPORTRANGE(""https://docs.google.com/spreadsheets/d/1eHaY18a8A9IcSdp1K8H6x8fbOy06t2VsZHhMHf-1x7Y/edit?usp=sharing"",""แผน!FT86"")"),0)</f>
        <v>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IFERROR(__xludf.DUMMYFUNCTION("IMPORTRANGE(""https://docs.google.com/spreadsheets/d/10OvvATaaLtwErnr3qtWFcTmtbfpFEt5Bsqel9sXx0uE/edit?usp=sharing"",""งานกองทุน!D86"")"),2646651.76)</f>
        <v>2646651.7599999998</v>
      </c>
      <c r="J779" s="152">
        <f ca="1">IFERROR(__xludf.DUMMYFUNCTION("IMPORTRANGE(""https://docs.google.com/spreadsheets/d/10OvvATaaLtwErnr3qtWFcTmtbfpFEt5Bsqel9sXx0uE/edit?usp=sharing"",""งานกองทุน!F86"")"),1042921.62)</f>
        <v>1042921.62</v>
      </c>
      <c r="K779" s="46">
        <f t="shared" ref="K779:K786" ca="1" si="466">IF(I779&gt;0,J779*100/I779,0)</f>
        <v>39.405320932739563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IFERROR(__xludf.DUMMYFUNCTION("IMPORTRANGE(""https://docs.google.com/spreadsheets/d/10OvvATaaLtwErnr3qtWFcTmtbfpFEt5Bsqel9sXx0uE/edit?usp=sharing"",""งานกองทุน!C86"")"),193)</f>
        <v>193</v>
      </c>
      <c r="J780" s="152">
        <f ca="1">IFERROR(__xludf.DUMMYFUNCTION("IMPORTRANGE(""https://docs.google.com/spreadsheets/d/10OvvATaaLtwErnr3qtWFcTmtbfpFEt5Bsqel9sXx0uE/edit?usp=sharing"",""งานกองทุน!E86"")"),95)</f>
        <v>95</v>
      </c>
      <c r="K780" s="46">
        <f t="shared" ca="1" si="466"/>
        <v>49.222797927461137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1" s="152">
        <f ca="1">IFERROR(__xludf.DUMMYFUNCTION("IMPORTRANGE(""https://docs.google.com/spreadsheets/d/10OvvATaaLtwErnr3qtWFcTmtbfpFEt5Bsqel9sXx0uE/edit?usp=sharing"",""งานกองทุน!K86"")"),249795.79)</f>
        <v>249795.79</v>
      </c>
      <c r="K781" s="46">
        <f t="shared" ca="1" si="466"/>
        <v>9.2398843422187102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IFERROR(__xludf.DUMMYFUNCTION("IMPORTRANGE(""https://docs.google.com/spreadsheets/d/10OvvATaaLtwErnr3qtWFcTmtbfpFEt5Bsqel9sXx0uE/edit?usp=sharing"",""งานกองทุน!H86"")"),99)</f>
        <v>99</v>
      </c>
      <c r="J782" s="152">
        <f ca="1">IFERROR(__xludf.DUMMYFUNCTION("IMPORTRANGE(""https://docs.google.com/spreadsheets/d/10OvvATaaLtwErnr3qtWFcTmtbfpFEt5Bsqel9sXx0uE/edit?usp=sharing"",""งานกองทุน!J86"")"),68)</f>
        <v>68</v>
      </c>
      <c r="K782" s="46">
        <f t="shared" ca="1" si="466"/>
        <v>68.686868686868692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IFERROR(__xludf.DUMMYFUNCTION("IMPORTRANGE(""https://docs.google.com/spreadsheets/d/10OvvATaaLtwErnr3qtWFcTmtbfpFEt5Bsqel9sXx0uE/edit?usp=sharing"",""งานกองทุน!N86"")"),0)</f>
        <v>0</v>
      </c>
      <c r="J783" s="152">
        <f ca="1">IFERROR(__xludf.DUMMYFUNCTION("IMPORTRANGE(""https://docs.google.com/spreadsheets/d/10OvvATaaLtwErnr3qtWFcTmtbfpFEt5Bsqel9sXx0uE/edit?usp=sharing"",""งานกองทุน!P86"")"),0)</f>
        <v>0</v>
      </c>
      <c r="K783" s="46">
        <f t="shared" ca="1" si="466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IFERROR(__xludf.DUMMYFUNCTION("IMPORTRANGE(""https://docs.google.com/spreadsheets/d/10OvvATaaLtwErnr3qtWFcTmtbfpFEt5Bsqel9sXx0uE/edit?usp=sharing"",""งานกองทุน!M86"")"),0)</f>
        <v>0</v>
      </c>
      <c r="J784" s="152">
        <f ca="1">IFERROR(__xludf.DUMMYFUNCTION("IMPORTRANGE(""https://docs.google.com/spreadsheets/d/10OvvATaaLtwErnr3qtWFcTmtbfpFEt5Bsqel9sXx0uE/edit?usp=sharing"",""งานกองทุน!O86"")"),0)</f>
        <v>0</v>
      </c>
      <c r="K784" s="46">
        <f t="shared" ca="1" si="466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IFERROR(__xludf.DUMMYFUNCTION("IMPORTRANGE(""https://docs.google.com/spreadsheets/d/10OvvATaaLtwErnr3qtWFcTmtbfpFEt5Bsqel9sXx0uE/edit?usp=sharing"",""งานกองทุน!S86"")"),3398000)</f>
        <v>3398000</v>
      </c>
      <c r="J785" s="152">
        <f ca="1">IFERROR(__xludf.DUMMYFUNCTION("IMPORTRANGE(""https://docs.google.com/spreadsheets/d/10OvvATaaLtwErnr3qtWFcTmtbfpFEt5Bsqel9sXx0uE/edit?usp=sharing"",""งานกองทุน!U86"")"),3300000)</f>
        <v>3300000</v>
      </c>
      <c r="K785" s="46">
        <f t="shared" ca="1" si="466"/>
        <v>97.115950559152438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IFERROR(__xludf.DUMMYFUNCTION("IMPORTRANGE(""https://docs.google.com/spreadsheets/d/10OvvATaaLtwErnr3qtWFcTmtbfpFEt5Bsqel9sXx0uE/edit?usp=sharing"",""งานกองทุน!R86"")"),97)</f>
        <v>97</v>
      </c>
      <c r="J786" s="204">
        <f ca="1">IFERROR(__xludf.DUMMYFUNCTION("IMPORTRANGE(""https://docs.google.com/spreadsheets/d/10OvvATaaLtwErnr3qtWFcTmtbfpFEt5Bsqel9sXx0uE/edit?usp=sharing"",""งานกองทุน!T86"")"),66)</f>
        <v>66</v>
      </c>
      <c r="K786" s="110">
        <f t="shared" ca="1" si="466"/>
        <v>68.041237113402062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A038-1000-4BB6-95B0-C89C2B400212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6" width="12.5703125" bestFit="1" customWidth="1"/>
    <col min="17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325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1088325</v>
      </c>
      <c r="M19" s="34">
        <f t="shared" ca="1" si="0"/>
        <v>1193025</v>
      </c>
      <c r="N19" s="34">
        <f t="shared" ca="1" si="0"/>
        <v>731812.14999999991</v>
      </c>
      <c r="O19" s="34">
        <f t="shared" ref="O19:O27" ca="1" si="1">IF(L19&gt;0,N19*100/L19,0)</f>
        <v>67.242060046401562</v>
      </c>
      <c r="P19" s="34">
        <f t="shared" ref="P19:P27" ca="1" si="2">IF(M19&gt;0,N19*100/M19,0)</f>
        <v>61.340889755034461</v>
      </c>
      <c r="Q19" s="34">
        <f t="shared" ref="Q19:S19" ca="1" si="3">Q20+Q21</f>
        <v>721810.22</v>
      </c>
      <c r="R19" s="34">
        <f t="shared" ca="1" si="3"/>
        <v>712435</v>
      </c>
      <c r="S19" s="34">
        <f t="shared" ca="1" si="3"/>
        <v>114954.54999999999</v>
      </c>
      <c r="T19" s="34">
        <f t="shared" ref="T19:T27" ca="1" si="4">IF(Q19&gt;0,S19*100/Q19,0)</f>
        <v>15.925868990882394</v>
      </c>
      <c r="U19" s="34">
        <f t="shared" ref="U19:U27" ca="1" si="5">IF(R19&gt;0,S19*100/R19,0)</f>
        <v>16.135443935236193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1088325</v>
      </c>
      <c r="M21" s="38">
        <f t="shared" ca="1" si="6"/>
        <v>1193025</v>
      </c>
      <c r="N21" s="38">
        <f t="shared" ca="1" si="6"/>
        <v>731812.14999999991</v>
      </c>
      <c r="O21" s="38">
        <f t="shared" ca="1" si="1"/>
        <v>67.242060046401562</v>
      </c>
      <c r="P21" s="38">
        <f t="shared" ca="1" si="2"/>
        <v>61.340889755034461</v>
      </c>
      <c r="Q21" s="38">
        <f t="shared" ca="1" si="7"/>
        <v>721810.22</v>
      </c>
      <c r="R21" s="38">
        <f t="shared" ca="1" si="7"/>
        <v>712435</v>
      </c>
      <c r="S21" s="38">
        <f t="shared" ca="1" si="7"/>
        <v>114954.54999999999</v>
      </c>
      <c r="T21" s="38">
        <f t="shared" ca="1" si="4"/>
        <v>15.925868990882394</v>
      </c>
      <c r="U21" s="38">
        <f t="shared" ca="1" si="5"/>
        <v>16.135443935236193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1088325</v>
      </c>
      <c r="M22" s="46">
        <f t="shared" ca="1" si="8"/>
        <v>1193025</v>
      </c>
      <c r="N22" s="46">
        <f t="shared" ca="1" si="8"/>
        <v>731812.14999999991</v>
      </c>
      <c r="O22" s="46">
        <f t="shared" ca="1" si="1"/>
        <v>67.242060046401562</v>
      </c>
      <c r="P22" s="46">
        <f t="shared" ca="1" si="2"/>
        <v>61.340889755034461</v>
      </c>
      <c r="Q22" s="46">
        <f t="shared" ref="Q22:S22" ca="1" si="9">Q23+Q24</f>
        <v>721810.22</v>
      </c>
      <c r="R22" s="46">
        <f t="shared" ca="1" si="9"/>
        <v>712435</v>
      </c>
      <c r="S22" s="46">
        <f t="shared" ca="1" si="9"/>
        <v>114954.54999999999</v>
      </c>
      <c r="T22" s="46">
        <f t="shared" ca="1" si="4"/>
        <v>15.925868990882394</v>
      </c>
      <c r="U22" s="46">
        <f t="shared" ca="1" si="5"/>
        <v>16.135443935236193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1088325</v>
      </c>
      <c r="M24" s="46">
        <f t="shared" ca="1" si="10"/>
        <v>1193025</v>
      </c>
      <c r="N24" s="46">
        <f t="shared" ca="1" si="10"/>
        <v>731812.14999999991</v>
      </c>
      <c r="O24" s="46">
        <f t="shared" ca="1" si="1"/>
        <v>67.242060046401562</v>
      </c>
      <c r="P24" s="46">
        <f t="shared" ca="1" si="2"/>
        <v>61.340889755034461</v>
      </c>
      <c r="Q24" s="46">
        <f t="shared" ca="1" si="11"/>
        <v>721810.22</v>
      </c>
      <c r="R24" s="46">
        <f t="shared" ca="1" si="11"/>
        <v>712435</v>
      </c>
      <c r="S24" s="46">
        <f t="shared" ca="1" si="11"/>
        <v>114954.54999999999</v>
      </c>
      <c r="T24" s="46">
        <f t="shared" ca="1" si="4"/>
        <v>15.925868990882394</v>
      </c>
      <c r="U24" s="46">
        <f t="shared" ca="1" si="5"/>
        <v>16.135443935236193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1088325</v>
      </c>
      <c r="M41" s="525">
        <f t="shared" ca="1" si="16"/>
        <v>1193025</v>
      </c>
      <c r="N41" s="525">
        <f t="shared" ca="1" si="16"/>
        <v>731812.14999999991</v>
      </c>
      <c r="O41" s="525">
        <f ca="1">IF(L41&gt;0,N41*100/L41,0)</f>
        <v>67.242060046401562</v>
      </c>
      <c r="P41" s="525">
        <f ca="1">IF(M41&gt;0,N41*100/M41,0)</f>
        <v>61.340889755034461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224450</v>
      </c>
      <c r="M45" s="78">
        <f t="shared" ca="1" si="17"/>
        <v>296740</v>
      </c>
      <c r="N45" s="78">
        <f t="shared" ca="1" si="17"/>
        <v>208730</v>
      </c>
      <c r="O45" s="78">
        <f t="shared" ref="O45:O53" ca="1" si="18">IF(L45&gt;0,N45*100/L45,0)</f>
        <v>92.99621296502562</v>
      </c>
      <c r="P45" s="78">
        <f t="shared" ref="P45:P53" ca="1" si="19">IF(M45&gt;0,N45*100/M45,0)</f>
        <v>70.341039293657744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224450</v>
      </c>
      <c r="M47" s="82">
        <f t="shared" ca="1" si="23"/>
        <v>296740</v>
      </c>
      <c r="N47" s="82">
        <f t="shared" ca="1" si="23"/>
        <v>208730</v>
      </c>
      <c r="O47" s="82">
        <f t="shared" ca="1" si="18"/>
        <v>92.99621296502562</v>
      </c>
      <c r="P47" s="82">
        <f t="shared" ca="1" si="19"/>
        <v>70.341039293657744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224450</v>
      </c>
      <c r="M48" s="46">
        <f t="shared" ca="1" si="25"/>
        <v>296740</v>
      </c>
      <c r="N48" s="46">
        <f t="shared" ca="1" si="25"/>
        <v>208730</v>
      </c>
      <c r="O48" s="46">
        <f t="shared" ca="1" si="18"/>
        <v>92.99621296502562</v>
      </c>
      <c r="P48" s="46">
        <f t="shared" ca="1" si="19"/>
        <v>70.341039293657744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IFERROR(__xludf.DUMMYFUNCTION("IMPORTRANGE(""https://docs.google.com/spreadsheets/d/1-uDff_7J0KD5mKrp0Vvzr7lt3OU09vwQwhkpOPPYv2Y/edit?usp=sharing"",""งบพรบ!P87"")"),224450)</f>
        <v>224450</v>
      </c>
      <c r="M50" s="46">
        <f ca="1">IFERROR(__xludf.DUMMYFUNCTION("IMPORTRANGE(""https://docs.google.com/spreadsheets/d/1-uDff_7J0KD5mKrp0Vvzr7lt3OU09vwQwhkpOPPYv2Y/edit?usp=sharing"",""งบพรบ!V87"")"),296740)</f>
        <v>296740</v>
      </c>
      <c r="N50" s="46">
        <f ca="1">IFERROR(__xludf.DUMMYFUNCTION("IMPORTRANGE(""https://docs.google.com/spreadsheets/d/1-uDff_7J0KD5mKrp0Vvzr7lt3OU09vwQwhkpOPPYv2Y/edit?usp=sharing"",""งบพรบ!Y87"")"),208730)</f>
        <v>208730</v>
      </c>
      <c r="O50" s="46">
        <f t="shared" ca="1" si="18"/>
        <v>92.99621296502562</v>
      </c>
      <c r="P50" s="46">
        <f t="shared" ca="1" si="19"/>
        <v>70.341039293657744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IFERROR(__xludf.DUMMYFUNCTION("IMPORTRANGE(""https://docs.google.com/spreadsheets/d/1-uDff_7J0KD5mKrp0Vvzr7lt3OU09vwQwhkpOPPYv2Y/edit?usp=sharing"",""งบพรบ!S87"")"),0)</f>
        <v>0</v>
      </c>
      <c r="M53" s="46">
        <f ca="1">IFERROR(__xludf.DUMMYFUNCTION("IMPORTRANGE(""https://docs.google.com/spreadsheets/d/1-uDff_7J0KD5mKrp0Vvzr7lt3OU09vwQwhkpOPPYv2Y/edit?usp=sharing"",""งบพรบ!W87"")"),0)</f>
        <v>0</v>
      </c>
      <c r="N53" s="46">
        <f ca="1">IFERROR(__xludf.DUMMYFUNCTION("IMPORTRANGE(""https://docs.google.com/spreadsheets/d/1-uDff_7J0KD5mKrp0Vvzr7lt3OU09vwQwhkpOPPYv2Y/edit?usp=sharing"",""งบพรบ!Z87"")"),0)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215400</v>
      </c>
      <c r="M60" s="105">
        <f t="shared" ca="1" si="29"/>
        <v>215400</v>
      </c>
      <c r="N60" s="105">
        <f t="shared" ca="1" si="29"/>
        <v>116243.8</v>
      </c>
      <c r="O60" s="105">
        <f t="shared" ref="O60:O68" ca="1" si="30">IF(L60&gt;0,N60*100/L60,0)</f>
        <v>53.96648096564531</v>
      </c>
      <c r="P60" s="105">
        <f t="shared" ref="P60:P68" ca="1" si="31">IF(M60&gt;0,N60*100/M60,0)</f>
        <v>53.96648096564531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215400</v>
      </c>
      <c r="M62" s="108">
        <f t="shared" ca="1" si="35"/>
        <v>215400</v>
      </c>
      <c r="N62" s="108">
        <f t="shared" ca="1" si="35"/>
        <v>116243.8</v>
      </c>
      <c r="O62" s="108">
        <f t="shared" ca="1" si="30"/>
        <v>53.96648096564531</v>
      </c>
      <c r="P62" s="108">
        <f t="shared" ca="1" si="31"/>
        <v>53.96648096564531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215400</v>
      </c>
      <c r="M63" s="46">
        <f t="shared" ca="1" si="37"/>
        <v>215400</v>
      </c>
      <c r="N63" s="46">
        <f t="shared" ca="1" si="37"/>
        <v>116243.8</v>
      </c>
      <c r="O63" s="46">
        <f t="shared" ca="1" si="30"/>
        <v>53.96648096564531</v>
      </c>
      <c r="P63" s="46">
        <f t="shared" ca="1" si="31"/>
        <v>53.96648096564531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IFERROR(__xludf.DUMMYFUNCTION("IMPORTRANGE(""https://docs.google.com/spreadsheets/d/1-uDff_7J0KD5mKrp0Vvzr7lt3OU09vwQwhkpOPPYv2Y/edit?usp=sharing"",""งบพรบ!AC87"")"),215400)</f>
        <v>215400</v>
      </c>
      <c r="M65" s="46">
        <f ca="1">IFERROR(__xludf.DUMMYFUNCTION("IMPORTRANGE(""https://docs.google.com/spreadsheets/d/1-uDff_7J0KD5mKrp0Vvzr7lt3OU09vwQwhkpOPPYv2Y/edit?usp=sharing"",""งบพรบ!AH87"")"),215400)</f>
        <v>215400</v>
      </c>
      <c r="N65" s="46">
        <f ca="1">IFERROR(__xludf.DUMMYFUNCTION("IMPORTRANGE(""https://docs.google.com/spreadsheets/d/1-uDff_7J0KD5mKrp0Vvzr7lt3OU09vwQwhkpOPPYv2Y/edit?usp=sharing"",""งบพรบ!AJ87"")"),116243.8)</f>
        <v>116243.8</v>
      </c>
      <c r="O65" s="46">
        <f t="shared" ca="1" si="30"/>
        <v>53.96648096564531</v>
      </c>
      <c r="P65" s="46">
        <f t="shared" ca="1" si="31"/>
        <v>53.96648096564531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IFERROR(__xludf.DUMMYFUNCTION("IMPORTRANGE(""https://docs.google.com/spreadsheets/d/1-uDff_7J0KD5mKrp0Vvzr7lt3OU09vwQwhkpOPPYv2Y/edit?usp=sharing"",""งบพรบ!AF87"")"),0)</f>
        <v>0</v>
      </c>
      <c r="M68" s="110">
        <f ca="1">IFERROR(__xludf.DUMMYFUNCTION("IMPORTRANGE(""https://docs.google.com/spreadsheets/d/1-uDff_7J0KD5mKrp0Vvzr7lt3OU09vwQwhkpOPPYv2Y/edit?usp=sharing"",""งบพรบ!AI87"")"),0)</f>
        <v>0</v>
      </c>
      <c r="N68" s="110">
        <f ca="1">IFERROR(__xludf.DUMMYFUNCTION("IMPORTRANGE(""https://docs.google.com/spreadsheets/d/1-uDff_7J0KD5mKrp0Vvzr7lt3OU09vwQwhkpOPPYv2Y/edit?usp=sharing"",""งบพรบ!AK87"")"),0)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IFERROR(__xludf.DUMMYFUNCTION("IMPORTRANGE(""https://docs.google.com/spreadsheets/d/1-uDff_7J0KD5mKrp0Vvzr7lt3OU09vwQwhkpOPPYv2Y/edit?usp=sharing"",""งบพรบ!AM87"")"),0)</f>
        <v>0</v>
      </c>
      <c r="M78" s="46">
        <f ca="1">IFERROR(__xludf.DUMMYFUNCTION("IMPORTRANGE(""https://docs.google.com/spreadsheets/d/1-uDff_7J0KD5mKrp0Vvzr7lt3OU09vwQwhkpOPPYv2Y/edit?usp=sharing"",""งบพรบ!AR87"")"),0)</f>
        <v>0</v>
      </c>
      <c r="N78" s="46">
        <f ca="1">IFERROR(__xludf.DUMMYFUNCTION("IMPORTRANGE(""https://docs.google.com/spreadsheets/d/1-uDff_7J0KD5mKrp0Vvzr7lt3OU09vwQwhkpOPPYv2Y/edit?usp=sharing"",""งบพรบ!AT87"")"),0)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IFERROR(__xludf.DUMMYFUNCTION("IMPORTRANGE(""https://docs.google.com/spreadsheets/d/1ItG2mGa2ceCfYo0BwxsXqNm01IGEUdYcSSLTEv9YCik/edit?usp=sharing"",""เบิกจ่ายกองทุน!AS87"")"),0)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IFERROR(__xludf.DUMMYFUNCTION("IMPORTRANGE(""https://docs.google.com/spreadsheets/d/1ItG2mGa2ceCfYo0BwxsXqNm01IGEUdYcSSLTEv9YCik/edit?usp=sharing"",""เบิกจ่ายกองทุน!AT87"")"),0)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IFERROR(__xludf.DUMMYFUNCTION("IMPORTRANGE(""https://docs.google.com/spreadsheets/d/1ItG2mGa2ceCfYo0BwxsXqNm01IGEUdYcSSLTEv9YCik/edit?usp=sharing"",""เบิกจ่ายกองทุน!AU87"")"),0)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IFERROR(__xludf.DUMMYFUNCTION("IMPORTRANGE(""https://docs.google.com/spreadsheets/d/1-uDff_7J0KD5mKrp0Vvzr7lt3OU09vwQwhkpOPPYv2Y/edit?usp=sharing"",""งบพรบ!AP87"")"),0)</f>
        <v>0</v>
      </c>
      <c r="M81" s="46">
        <f ca="1">IFERROR(__xludf.DUMMYFUNCTION("IMPORTRANGE(""https://docs.google.com/spreadsheets/d/1-uDff_7J0KD5mKrp0Vvzr7lt3OU09vwQwhkpOPPYv2Y/edit?usp=sharing"",""งบพรบ!AS87"")"),0)</f>
        <v>0</v>
      </c>
      <c r="N81" s="46">
        <f ca="1">IFERROR(__xludf.DUMMYFUNCTION("IMPORTRANGE(""https://docs.google.com/spreadsheets/d/1-uDff_7J0KD5mKrp0Vvzr7lt3OU09vwQwhkpOPPYv2Y/edit?usp=sharing"",""งบพรบ!AU87"")"),0)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IFERROR(__xludf.DUMMYFUNCTION("IMPORTRANGE(""https://docs.google.com/spreadsheets/d/1eHaY18a8A9IcSdp1K8H6x8fbOy06t2VsZHhMHf-1x7Y/edit?usp=sharing"",""แผน!H87"")"),0)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IFERROR(__xludf.DUMMYFUNCTION("IMPORTRANGE(""https://docs.google.com/spreadsheets/d/1eHaY18a8A9IcSdp1K8H6x8fbOy06t2VsZHhMHf-1x7Y/edit?usp=sharing"",""แผน!I87"")"),0)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IFERROR(__xludf.DUMMYFUNCTION("IMPORTRANGE(""https://docs.google.com/spreadsheets/d/1eHaY18a8A9IcSdp1K8H6x8fbOy06t2VsZHhMHf-1x7Y/edit?usp=sharing"",""แผน!F87"")"),0)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IFERROR(__xludf.DUMMYFUNCTION("IMPORTRANGE(""https://docs.google.com/spreadsheets/d/1eHaY18a8A9IcSdp1K8H6x8fbOy06t2VsZHhMHf-1x7Y/edit?usp=sharing"",""แผน!G87"")"),0)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IFERROR(__xludf.DUMMYFUNCTION("IMPORTRANGE(""https://docs.google.com/spreadsheets/d/1eHaY18a8A9IcSdp1K8H6x8fbOy06t2VsZHhMHf-1x7Y/edit?usp=sharing"",""แผน!D87"")"),0)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IFERROR(__xludf.DUMMYFUNCTION("IMPORTRANGE(""https://docs.google.com/spreadsheets/d/1eHaY18a8A9IcSdp1K8H6x8fbOy06t2VsZHhMHf-1x7Y/edit?usp=sharing"",""แผน!E87"")"),0)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IFERROR(__xludf.DUMMYFUNCTION("IMPORTRANGE(""https://docs.google.com/spreadsheets/d/1eHaY18a8A9IcSdp1K8H6x8fbOy06t2VsZHhMHf-1x7Y/edit?usp=sharing"",""แผน!J87"")"),0)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30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10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84420</v>
      </c>
      <c r="R95" s="132">
        <f t="shared" ca="1" si="62"/>
        <v>84420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84420</v>
      </c>
      <c r="R97" s="46">
        <f t="shared" ca="1" si="66"/>
        <v>84420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84420</v>
      </c>
      <c r="R98" s="46">
        <f t="shared" ca="1" si="68"/>
        <v>84420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IFERROR(__xludf.DUMMYFUNCTION("IMPORTRANGE(""https://docs.google.com/spreadsheets/d/1-uDff_7J0KD5mKrp0Vvzr7lt3OU09vwQwhkpOPPYv2Y/edit?usp=sharing"",""งบพรบ!AW87"")"),0)</f>
        <v>0</v>
      </c>
      <c r="M100" s="46">
        <f ca="1">IFERROR(__xludf.DUMMYFUNCTION("IMPORTRANGE(""https://docs.google.com/spreadsheets/d/1-uDff_7J0KD5mKrp0Vvzr7lt3OU09vwQwhkpOPPYv2Y/edit?usp=sharing"",""งบพรบ!BB87"")"),0)</f>
        <v>0</v>
      </c>
      <c r="N100" s="46">
        <f ca="1">IFERROR(__xludf.DUMMYFUNCTION("IMPORTRANGE(""https://docs.google.com/spreadsheets/d/1-uDff_7J0KD5mKrp0Vvzr7lt3OU09vwQwhkpOPPYv2Y/edit?usp=sharing"",""งบพรบ!BD87"")"),0)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IFERROR(__xludf.DUMMYFUNCTION("IMPORTRANGE(""https://docs.google.com/spreadsheets/d/1ItG2mGa2ceCfYo0BwxsXqNm01IGEUdYcSSLTEv9YCik/edit?usp=sharing"",""เบิกจ่ายกองทุน!AD87"")"),84420)</f>
        <v>84420</v>
      </c>
      <c r="R100" s="46">
        <f ca="1">IFERROR(__xludf.DUMMYFUNCTION("IMPORTRANGE(""https://docs.google.com/spreadsheets/d/1ItG2mGa2ceCfYo0BwxsXqNm01IGEUdYcSSLTEv9YCik/edit?usp=sharing"",""เบิกจ่ายกองทุน!AE87"")"),84420)</f>
        <v>84420</v>
      </c>
      <c r="S100" s="46">
        <f ca="1">IFERROR(__xludf.DUMMYFUNCTION("IMPORTRANGE(""https://docs.google.com/spreadsheets/d/1ItG2mGa2ceCfYo0BwxsXqNm01IGEUdYcSSLTEv9YCik/edit?usp=sharing"",""เบิกจ่ายกองทุน!AF87"")"),0)</f>
        <v>0</v>
      </c>
      <c r="T100" s="46">
        <f t="shared" ca="1" si="63"/>
        <v>0</v>
      </c>
      <c r="U100" s="46">
        <f t="shared" ca="1" si="64"/>
        <v>0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IFERROR(__xludf.DUMMYFUNCTION("IMPORTRANGE(""https://docs.google.com/spreadsheets/d/1-uDff_7J0KD5mKrp0Vvzr7lt3OU09vwQwhkpOPPYv2Y/edit?usp=sharing"",""งบพรบ!AZ87"")"),0)</f>
        <v>0</v>
      </c>
      <c r="M103" s="46">
        <f ca="1">IFERROR(__xludf.DUMMYFUNCTION("IMPORTRANGE(""https://docs.google.com/spreadsheets/d/1-uDff_7J0KD5mKrp0Vvzr7lt3OU09vwQwhkpOPPYv2Y/edit?usp=sharing"",""งบพรบ!BC87"")"),0)</f>
        <v>0</v>
      </c>
      <c r="N103" s="46">
        <f ca="1">IFERROR(__xludf.DUMMYFUNCTION("IMPORTRANGE(""https://docs.google.com/spreadsheets/d/1-uDff_7J0KD5mKrp0Vvzr7lt3OU09vwQwhkpOPPYv2Y/edit?usp=sharing"",""งบพรบ!BE87"")"),0)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IFERROR(__xludf.DUMMYFUNCTION("IMPORTRANGE(""https://docs.google.com/spreadsheets/d/1eHaY18a8A9IcSdp1K8H6x8fbOy06t2VsZHhMHf-1x7Y/edit?usp=sharing"",""แผน!N87"")"),30)</f>
        <v>30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IFERROR(__xludf.DUMMYFUNCTION("IMPORTRANGE(""https://docs.google.com/spreadsheets/d/1eHaY18a8A9IcSdp1K8H6x8fbOy06t2VsZHhMHf-1x7Y/edit?usp=sharing"",""แผน!O87"")"),10)</f>
        <v>10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IFERROR(__xludf.DUMMYFUNCTION("IMPORTRANGE(""https://docs.google.com/spreadsheets/d/1eHaY18a8A9IcSdp1K8H6x8fbOy06t2VsZHhMHf-1x7Y/edit?usp=sharing"",""แผน!N87"")"),30)</f>
        <v>30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IFERROR(__xludf.DUMMYFUNCTION("IMPORTRANGE(""https://docs.google.com/spreadsheets/d/1eHaY18a8A9IcSdp1K8H6x8fbOy06t2VsZHhMHf-1x7Y/edit?usp=sharing"",""แผน!O87"")"),10)</f>
        <v>10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10</v>
      </c>
      <c r="J117" s="127">
        <f t="shared" si="73"/>
        <v>10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173660</v>
      </c>
      <c r="R118" s="132">
        <f t="shared" ca="1" si="77"/>
        <v>173660</v>
      </c>
      <c r="S118" s="132">
        <f t="shared" ca="1" si="77"/>
        <v>51500</v>
      </c>
      <c r="T118" s="132">
        <f t="shared" ref="T118:T126" ca="1" si="78">IF(Q118&gt;0,S118*100/Q118,0)</f>
        <v>29.655648969250258</v>
      </c>
      <c r="U118" s="132">
        <f t="shared" ref="U118:U126" ca="1" si="79">IF(R118&gt;0,S118*100/R118,0)</f>
        <v>29.655648969250258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173660</v>
      </c>
      <c r="R120" s="46">
        <f t="shared" ca="1" si="81"/>
        <v>173660</v>
      </c>
      <c r="S120" s="46">
        <f t="shared" ca="1" si="81"/>
        <v>51500</v>
      </c>
      <c r="T120" s="46">
        <f t="shared" ca="1" si="78"/>
        <v>29.655648969250258</v>
      </c>
      <c r="U120" s="46">
        <f t="shared" ca="1" si="79"/>
        <v>29.655648969250258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173660</v>
      </c>
      <c r="R121" s="46">
        <f t="shared" ca="1" si="83"/>
        <v>173660</v>
      </c>
      <c r="S121" s="46">
        <f t="shared" ca="1" si="83"/>
        <v>51500</v>
      </c>
      <c r="T121" s="46">
        <f t="shared" ca="1" si="78"/>
        <v>29.655648969250258</v>
      </c>
      <c r="U121" s="46">
        <f t="shared" ca="1" si="79"/>
        <v>29.655648969250258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IFERROR(__xludf.DUMMYFUNCTION("IMPORTRANGE(""https://docs.google.com/spreadsheets/d/1-uDff_7J0KD5mKrp0Vvzr7lt3OU09vwQwhkpOPPYv2Y/edit?usp=sharing"",""งบพรบ!BG87"")"),0)</f>
        <v>0</v>
      </c>
      <c r="M123" s="46">
        <f ca="1">IFERROR(__xludf.DUMMYFUNCTION("IMPORTRANGE(""https://docs.google.com/spreadsheets/d/1-uDff_7J0KD5mKrp0Vvzr7lt3OU09vwQwhkpOPPYv2Y/edit?usp=sharing"",""งบพรบ!BL87"")"),0)</f>
        <v>0</v>
      </c>
      <c r="N123" s="46">
        <f ca="1">IFERROR(__xludf.DUMMYFUNCTION("IMPORTRANGE(""https://docs.google.com/spreadsheets/d/1-uDff_7J0KD5mKrp0Vvzr7lt3OU09vwQwhkpOPPYv2Y/edit?usp=sharing"",""งบพรบ!BN87"")"),0)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IFERROR(__xludf.DUMMYFUNCTION("IMPORTRANGE(""https://docs.google.com/spreadsheets/d/1ItG2mGa2ceCfYo0BwxsXqNm01IGEUdYcSSLTEv9YCik/edit?usp=sharing"",""เบิกจ่ายกองทุน!R87"")"),173660)</f>
        <v>173660</v>
      </c>
      <c r="R123" s="46">
        <f ca="1">IFERROR(__xludf.DUMMYFUNCTION("IMPORTRANGE(""https://docs.google.com/spreadsheets/d/1ItG2mGa2ceCfYo0BwxsXqNm01IGEUdYcSSLTEv9YCik/edit?usp=sharing"",""เบิกจ่ายกองทุน!S87"")"),173660)</f>
        <v>173660</v>
      </c>
      <c r="S123" s="46">
        <f ca="1">IFERROR(__xludf.DUMMYFUNCTION("IMPORTRANGE(""https://docs.google.com/spreadsheets/d/1ItG2mGa2ceCfYo0BwxsXqNm01IGEUdYcSSLTEv9YCik/edit?usp=sharing"",""เบิกจ่ายกองทุน!T87"")"),51500)</f>
        <v>51500</v>
      </c>
      <c r="T123" s="46">
        <f t="shared" ca="1" si="78"/>
        <v>29.655648969250258</v>
      </c>
      <c r="U123" s="46">
        <f t="shared" ca="1" si="79"/>
        <v>29.655648969250258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IFERROR(__xludf.DUMMYFUNCTION("IMPORTRANGE(""https://docs.google.com/spreadsheets/d/1-uDff_7J0KD5mKrp0Vvzr7lt3OU09vwQwhkpOPPYv2Y/edit?usp=sharing"",""งบพรบ!BJ87"")"),0)</f>
        <v>0</v>
      </c>
      <c r="M126" s="46">
        <f ca="1">IFERROR(__xludf.DUMMYFUNCTION("IMPORTRANGE(""https://docs.google.com/spreadsheets/d/1-uDff_7J0KD5mKrp0Vvzr7lt3OU09vwQwhkpOPPYv2Y/edit?usp=sharing"",""งบพรบ!BM87"")"),0)</f>
        <v>0</v>
      </c>
      <c r="N126" s="46">
        <f ca="1">IFERROR(__xludf.DUMMYFUNCTION("IMPORTRANGE(""https://docs.google.com/spreadsheets/d/1-uDff_7J0KD5mKrp0Vvzr7lt3OU09vwQwhkpOPPYv2Y/edit?usp=sharing"",""งบพรบ!BO87"")"),0)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IFERROR(__xludf.DUMMYFUNCTION("IMPORTRANGE(""https://docs.google.com/spreadsheets/d/1eHaY18a8A9IcSdp1K8H6x8fbOy06t2VsZHhMHf-1x7Y/edit?usp=sharing"",""แผน!FF87"")"),10)</f>
        <v>10</v>
      </c>
      <c r="J128" s="168">
        <v>10</v>
      </c>
      <c r="K128" s="46">
        <f t="shared" ref="K128:K131" ca="1" si="86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IFERROR(__xludf.DUMMYFUNCTION("IMPORTRANGE(""https://docs.google.com/spreadsheets/d/1eHaY18a8A9IcSdp1K8H6x8fbOy06t2VsZHhMHf-1x7Y/edit?usp=sharing"",""แผน!FG87"")"),0)</f>
        <v>0</v>
      </c>
      <c r="J129" s="168">
        <v>0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IFERROR(__xludf.DUMMYFUNCTION("IMPORTRANGE(""https://docs.google.com/spreadsheets/d/1eHaY18a8A9IcSdp1K8H6x8fbOy06t2VsZHhMHf-1x7Y/edit?usp=sharing"",""แผน!FH87"")"),10)</f>
        <v>10</v>
      </c>
      <c r="J130" s="168">
        <v>10</v>
      </c>
      <c r="K130" s="46">
        <f t="shared" ca="1" si="86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IFERROR(__xludf.DUMMYFUNCTION("IMPORTRANGE(""https://docs.google.com/spreadsheets/d/1eHaY18a8A9IcSdp1K8H6x8fbOy06t2VsZHhMHf-1x7Y/edit?usp=sharing"",""แผน!FI87"")"),0)</f>
        <v>0</v>
      </c>
      <c r="J131" s="168">
        <v>0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0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0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0</v>
      </c>
      <c r="M140" s="132">
        <f t="shared" ca="1" si="90"/>
        <v>0</v>
      </c>
      <c r="N140" s="132">
        <f t="shared" ca="1" si="90"/>
        <v>0</v>
      </c>
      <c r="O140" s="132">
        <f t="shared" ref="O140:O148" ca="1" si="91">IF(L140&gt;0,N140*100/L140,0)</f>
        <v>0</v>
      </c>
      <c r="P140" s="132">
        <f t="shared" ref="P140:P148" ca="1" si="92">IF(M140&gt;0,N140*100/M140,0)</f>
        <v>0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0</v>
      </c>
      <c r="M142" s="46">
        <f t="shared" ca="1" si="96"/>
        <v>0</v>
      </c>
      <c r="N142" s="46">
        <f t="shared" ca="1" si="96"/>
        <v>0</v>
      </c>
      <c r="O142" s="46">
        <f t="shared" ca="1" si="91"/>
        <v>0</v>
      </c>
      <c r="P142" s="46">
        <f t="shared" ca="1" si="92"/>
        <v>0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0</v>
      </c>
      <c r="M143" s="46">
        <f t="shared" ca="1" si="98"/>
        <v>0</v>
      </c>
      <c r="N143" s="46">
        <f t="shared" ca="1" si="98"/>
        <v>0</v>
      </c>
      <c r="O143" s="46">
        <f t="shared" ca="1" si="91"/>
        <v>0</v>
      </c>
      <c r="P143" s="46">
        <f t="shared" ca="1" si="92"/>
        <v>0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IFERROR(__xludf.DUMMYFUNCTION("IMPORTRANGE(""https://docs.google.com/spreadsheets/d/1-uDff_7J0KD5mKrp0Vvzr7lt3OU09vwQwhkpOPPYv2Y/edit?usp=sharing"",""งบพรบ!BQ87"")"),0)</f>
        <v>0</v>
      </c>
      <c r="M145" s="46">
        <f ca="1">IFERROR(__xludf.DUMMYFUNCTION("IMPORTRANGE(""https://docs.google.com/spreadsheets/d/1-uDff_7J0KD5mKrp0Vvzr7lt3OU09vwQwhkpOPPYv2Y/edit?usp=sharing"",""งบพรบ!BV87"")"),0)</f>
        <v>0</v>
      </c>
      <c r="N145" s="46">
        <f ca="1">IFERROR(__xludf.DUMMYFUNCTION("IMPORTRANGE(""https://docs.google.com/spreadsheets/d/1-uDff_7J0KD5mKrp0Vvzr7lt3OU09vwQwhkpOPPYv2Y/edit?usp=sharing"",""งบพรบ!BX87"")"),0)</f>
        <v>0</v>
      </c>
      <c r="O145" s="46">
        <f t="shared" ca="1" si="91"/>
        <v>0</v>
      </c>
      <c r="P145" s="46">
        <f t="shared" ca="1" si="92"/>
        <v>0</v>
      </c>
      <c r="Q145" s="46">
        <f ca="1">IFERROR(__xludf.DUMMYFUNCTION("IMPORTRANGE(""https://docs.google.com/spreadsheets/d/1ItG2mGa2ceCfYo0BwxsXqNm01IGEUdYcSSLTEv9YCik/edit?usp=sharing"",""เบิกจ่ายกองทุน!BB87"")"),0)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IFERROR(__xludf.DUMMYFUNCTION("IMPORTRANGE(""https://docs.google.com/spreadsheets/d/1ItG2mGa2ceCfYo0BwxsXqNm01IGEUdYcSSLTEv9YCik/edit?usp=sharing"",""เบิกจ่ายกองทุน!BC87"")"),0)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IFERROR(__xludf.DUMMYFUNCTION("IMPORTRANGE(""https://docs.google.com/spreadsheets/d/1ItG2mGa2ceCfYo0BwxsXqNm01IGEUdYcSSLTEv9YCik/edit?usp=sharing"",""เบิกจ่ายกองทุน!BD87"")"),0)</f>
        <v>0</v>
      </c>
      <c r="T145" s="46">
        <f t="shared" ca="1" si="94"/>
        <v>0</v>
      </c>
      <c r="U145" s="46">
        <f t="shared" ca="1" si="95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IFERROR(__xludf.DUMMYFUNCTION("IMPORTRANGE(""https://docs.google.com/spreadsheets/d/1-uDff_7J0KD5mKrp0Vvzr7lt3OU09vwQwhkpOPPYv2Y/edit?usp=sharing"",""งบพรบ!BT87"")"),0)</f>
        <v>0</v>
      </c>
      <c r="M148" s="46">
        <f ca="1">IFERROR(__xludf.DUMMYFUNCTION("IMPORTRANGE(""https://docs.google.com/spreadsheets/d/1-uDff_7J0KD5mKrp0Vvzr7lt3OU09vwQwhkpOPPYv2Y/edit?usp=sharing"",""งบพรบ!BW87"")"),0)</f>
        <v>0</v>
      </c>
      <c r="N148" s="46">
        <f ca="1">IFERROR(__xludf.DUMMYFUNCTION("IMPORTRANGE(""https://docs.google.com/spreadsheets/d/1-uDff_7J0KD5mKrp0Vvzr7lt3OU09vwQwhkpOPPYv2Y/edit?usp=sharing"",""งบพรบ!BY87"")"),0)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IFERROR(__xludf.DUMMYFUNCTION("IMPORTRANGE(""https://docs.google.com/spreadsheets/d/1eHaY18a8A9IcSdp1K8H6x8fbOy06t2VsZHhMHf-1x7Y/edit?usp=sharing"",""แผน!U87"")"),0)</f>
        <v>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IFERROR(__xludf.DUMMYFUNCTION("IMPORTRANGE(""https://docs.google.com/spreadsheets/d/1eHaY18a8A9IcSdp1K8H6x8fbOy06t2VsZHhMHf-1x7Y/edit?usp=sharing"",""แผน!V87"")"),0)</f>
        <v>0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IFERROR(__xludf.DUMMYFUNCTION("IMPORTRANGE(""https://docs.google.com/spreadsheets/d/1eHaY18a8A9IcSdp1K8H6x8fbOy06t2VsZHhMHf-1x7Y/edit?usp=sharing"",""แผน!W87"")"),0)</f>
        <v>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IFERROR(__xludf.DUMMYFUNCTION("IMPORTRANGE(""https://docs.google.com/spreadsheets/d/1eHaY18a8A9IcSdp1K8H6x8fbOy06t2VsZHhMHf-1x7Y/edit?usp=sharing"",""แผน!X87"")"),0)</f>
        <v>0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IFERROR(__xludf.DUMMYFUNCTION("IMPORTRANGE(""https://docs.google.com/spreadsheets/d/1eHaY18a8A9IcSdp1K8H6x8fbOy06t2VsZHhMHf-1x7Y/edit?usp=sharing"",""แผน!Y87"")"),0)</f>
        <v>0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I170</f>
        <v>0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0</v>
      </c>
      <c r="M158" s="132">
        <f t="shared" ca="1" si="104"/>
        <v>0</v>
      </c>
      <c r="N158" s="132">
        <f t="shared" ca="1" si="104"/>
        <v>0</v>
      </c>
      <c r="O158" s="132">
        <f t="shared" ref="O158:O166" ca="1" si="105">IF(L158&gt;0,N158*100/L158,0)</f>
        <v>0</v>
      </c>
      <c r="P158" s="132">
        <f t="shared" ref="P158:P166" ca="1" si="106">IF(M158&gt;0,N158*100/M158,0)</f>
        <v>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0</v>
      </c>
      <c r="M160" s="46">
        <f t="shared" ca="1" si="110"/>
        <v>0</v>
      </c>
      <c r="N160" s="46">
        <f t="shared" ca="1" si="110"/>
        <v>0</v>
      </c>
      <c r="O160" s="46">
        <f t="shared" ca="1" si="105"/>
        <v>0</v>
      </c>
      <c r="P160" s="46">
        <f t="shared" ca="1" si="106"/>
        <v>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0</v>
      </c>
      <c r="M161" s="46">
        <f t="shared" ca="1" si="112"/>
        <v>0</v>
      </c>
      <c r="N161" s="46">
        <f t="shared" ca="1" si="112"/>
        <v>0</v>
      </c>
      <c r="O161" s="46">
        <f t="shared" ca="1" si="105"/>
        <v>0</v>
      </c>
      <c r="P161" s="46">
        <f t="shared" ca="1" si="106"/>
        <v>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IFERROR(__xludf.DUMMYFUNCTION("IMPORTRANGE(""https://docs.google.com/spreadsheets/d/1-uDff_7J0KD5mKrp0Vvzr7lt3OU09vwQwhkpOPPYv2Y/edit?usp=sharing"",""งบพรบ!CA87"")"),0)</f>
        <v>0</v>
      </c>
      <c r="M163" s="46">
        <f ca="1">IFERROR(__xludf.DUMMYFUNCTION("IMPORTRANGE(""https://docs.google.com/spreadsheets/d/1-uDff_7J0KD5mKrp0Vvzr7lt3OU09vwQwhkpOPPYv2Y/edit?usp=sharing"",""งบพรบ!CF87"")"),0)</f>
        <v>0</v>
      </c>
      <c r="N163" s="46">
        <f ca="1">IFERROR(__xludf.DUMMYFUNCTION("IMPORTRANGE(""https://docs.google.com/spreadsheets/d/1-uDff_7J0KD5mKrp0Vvzr7lt3OU09vwQwhkpOPPYv2Y/edit?usp=sharing"",""งบพรบ!CH87"")"),0)</f>
        <v>0</v>
      </c>
      <c r="O163" s="46">
        <f t="shared" ca="1" si="105"/>
        <v>0</v>
      </c>
      <c r="P163" s="46">
        <f t="shared" ca="1" si="106"/>
        <v>0</v>
      </c>
      <c r="Q163" s="46">
        <f ca="1">IFERROR(__xludf.DUMMYFUNCTION("IMPORTRANGE(""https://docs.google.com/spreadsheets/d/1ItG2mGa2ceCfYo0BwxsXqNm01IGEUdYcSSLTEv9YCik/edit?usp=sharing"",""เบิกจ่ายกองทุน!AG87"")"),0)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IFERROR(__xludf.DUMMYFUNCTION("IMPORTRANGE(""https://docs.google.com/spreadsheets/d/1ItG2mGa2ceCfYo0BwxsXqNm01IGEUdYcSSLTEv9YCik/edit?usp=sharing"",""เบิกจ่ายกองทุน!AH87"")"),0)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IFERROR(__xludf.DUMMYFUNCTION("IMPORTRANGE(""https://docs.google.com/spreadsheets/d/1ItG2mGa2ceCfYo0BwxsXqNm01IGEUdYcSSLTEv9YCik/edit?usp=sharing"",""เบิกจ่ายกองทุน!AI87"")"),0)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IFERROR(__xludf.DUMMYFUNCTION("IMPORTRANGE(""https://docs.google.com/spreadsheets/d/1-uDff_7J0KD5mKrp0Vvzr7lt3OU09vwQwhkpOPPYv2Y/edit?usp=sharing"",""งบพรบ!CD87"")"),0)</f>
        <v>0</v>
      </c>
      <c r="M166" s="46">
        <f ca="1">IFERROR(__xludf.DUMMYFUNCTION("IMPORTRANGE(""https://docs.google.com/spreadsheets/d/1-uDff_7J0KD5mKrp0Vvzr7lt3OU09vwQwhkpOPPYv2Y/edit?usp=sharing"",""งบพรบ!CG87"")"),0)</f>
        <v>0</v>
      </c>
      <c r="N166" s="46">
        <f ca="1">IFERROR(__xludf.DUMMYFUNCTION("IMPORTRANGE(""https://docs.google.com/spreadsheets/d/1-uDff_7J0KD5mKrp0Vvzr7lt3OU09vwQwhkpOPPYv2Y/edit?usp=sharing"",""งบพรบ!CI87"")"),0)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IFERROR(__xludf.DUMMYFUNCTION("IMPORTRANGE(""https://docs.google.com/spreadsheets/d/1eHaY18a8A9IcSdp1K8H6x8fbOy06t2VsZHhMHf-1x7Y/edit?usp=sharing"",""แผน!Z87"")"),0)</f>
        <v>0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IFERROR(__xludf.DUMMYFUNCTION("IMPORTRANGE(""https://docs.google.com/spreadsheets/d/1eHaY18a8A9IcSdp1K8H6x8fbOy06t2VsZHhMHf-1x7Y/edit?usp=sharing"",""แผน!Z87"")"),0)</f>
        <v>0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IFERROR(__xludf.DUMMYFUNCTION("IMPORTRANGE(""https://docs.google.com/spreadsheets/d/1eHaY18a8A9IcSdp1K8H6x8fbOy06t2VsZHhMHf-1x7Y/edit?usp=sharing"",""แผน!Z87"")"),0)</f>
        <v>0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7</v>
      </c>
      <c r="J173" s="221">
        <f t="shared" si="117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19590</v>
      </c>
      <c r="M174" s="132">
        <f t="shared" ca="1" si="118"/>
        <v>40300</v>
      </c>
      <c r="N174" s="132">
        <f t="shared" ca="1" si="118"/>
        <v>40300</v>
      </c>
      <c r="O174" s="132">
        <f t="shared" ref="O174:O182" ca="1" si="119">IF(L174&gt;0,N174*100/L174,0)</f>
        <v>205.71720265441553</v>
      </c>
      <c r="P174" s="132">
        <f t="shared" ref="P174:P182" ca="1" si="120">IF(M174&gt;0,N174*100/M174,0)</f>
        <v>100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19590</v>
      </c>
      <c r="M176" s="46">
        <f t="shared" ca="1" si="124"/>
        <v>40300</v>
      </c>
      <c r="N176" s="46">
        <f t="shared" ca="1" si="124"/>
        <v>40300</v>
      </c>
      <c r="O176" s="46">
        <f t="shared" ca="1" si="119"/>
        <v>205.71720265441553</v>
      </c>
      <c r="P176" s="46">
        <f t="shared" ca="1" si="120"/>
        <v>100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19590</v>
      </c>
      <c r="M177" s="46">
        <f t="shared" ca="1" si="126"/>
        <v>40300</v>
      </c>
      <c r="N177" s="46">
        <f t="shared" ca="1" si="126"/>
        <v>40300</v>
      </c>
      <c r="O177" s="46">
        <f t="shared" ca="1" si="119"/>
        <v>205.71720265441553</v>
      </c>
      <c r="P177" s="46">
        <f t="shared" ca="1" si="120"/>
        <v>100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IFERROR(__xludf.DUMMYFUNCTION("IMPORTRANGE(""https://docs.google.com/spreadsheets/d/1-uDff_7J0KD5mKrp0Vvzr7lt3OU09vwQwhkpOPPYv2Y/edit?usp=sharing"",""งบพรบ!CK87"")"),19590)</f>
        <v>19590</v>
      </c>
      <c r="M179" s="46">
        <f ca="1">IFERROR(__xludf.DUMMYFUNCTION("IMPORTRANGE(""https://docs.google.com/spreadsheets/d/1-uDff_7J0KD5mKrp0Vvzr7lt3OU09vwQwhkpOPPYv2Y/edit?usp=sharing"",""งบพรบ!CP87"")"),40300)</f>
        <v>40300</v>
      </c>
      <c r="N179" s="46">
        <f ca="1">IFERROR(__xludf.DUMMYFUNCTION("IMPORTRANGE(""https://docs.google.com/spreadsheets/d/1-uDff_7J0KD5mKrp0Vvzr7lt3OU09vwQwhkpOPPYv2Y/edit?usp=sharing"",""งบพรบ!CR87"")"),40300)</f>
        <v>40300</v>
      </c>
      <c r="O179" s="46">
        <f t="shared" ca="1" si="119"/>
        <v>205.71720265441553</v>
      </c>
      <c r="P179" s="46">
        <f t="shared" ca="1" si="120"/>
        <v>100</v>
      </c>
      <c r="Q179" s="46">
        <f ca="1">IFERROR(__xludf.DUMMYFUNCTION("IMPORTRANGE(""https://docs.google.com/spreadsheets/d/1ItG2mGa2ceCfYo0BwxsXqNm01IGEUdYcSSLTEv9YCik/edit?usp=sharing"",""เบิกจ่ายกองทุน!BE87"")"),0)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IFERROR(__xludf.DUMMYFUNCTION("IMPORTRANGE(""https://docs.google.com/spreadsheets/d/1ItG2mGa2ceCfYo0BwxsXqNm01IGEUdYcSSLTEv9YCik/edit?usp=sharing"",""เบิกจ่ายกองทุน!BF87"")"),0)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IFERROR(__xludf.DUMMYFUNCTION("IMPORTRANGE(""https://docs.google.com/spreadsheets/d/1ItG2mGa2ceCfYo0BwxsXqNm01IGEUdYcSSLTEv9YCik/edit?usp=sharing"",""เบิกจ่ายกองทุน!BG87"")"),0)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IFERROR(__xludf.DUMMYFUNCTION("IMPORTRANGE(""https://docs.google.com/spreadsheets/d/1-uDff_7J0KD5mKrp0Vvzr7lt3OU09vwQwhkpOPPYv2Y/edit?usp=sharing"",""งบพรบ!CN87"")"),0)</f>
        <v>0</v>
      </c>
      <c r="M182" s="46">
        <f ca="1">IFERROR(__xludf.DUMMYFUNCTION("IMPORTRANGE(""https://docs.google.com/spreadsheets/d/1-uDff_7J0KD5mKrp0Vvzr7lt3OU09vwQwhkpOPPYv2Y/edit?usp=sharing"",""งบพรบ!CQ87"")"),0)</f>
        <v>0</v>
      </c>
      <c r="N182" s="46">
        <f ca="1">IFERROR(__xludf.DUMMYFUNCTION("IMPORTRANGE(""https://docs.google.com/spreadsheets/d/1-uDff_7J0KD5mKrp0Vvzr7lt3OU09vwQwhkpOPPYv2Y/edit?usp=sharing"",""งบพรบ!CS87"")"),0)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IFERROR(__xludf.DUMMYFUNCTION("IMPORTRANGE(""https://docs.google.com/spreadsheets/d/1eHaY18a8A9IcSdp1K8H6x8fbOy06t2VsZHhMHf-1x7Y/edit?usp=sharing"",""แผน!AA87"")"),7)</f>
        <v>7</v>
      </c>
      <c r="J184" s="168">
        <v>7</v>
      </c>
      <c r="K184" s="46">
        <f t="shared" ref="K184:K186" ca="1" si="130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269400</v>
      </c>
      <c r="M187" s="132">
        <f t="shared" ca="1" si="132"/>
        <v>271100</v>
      </c>
      <c r="N187" s="132">
        <f t="shared" ca="1" si="132"/>
        <v>174792.61</v>
      </c>
      <c r="O187" s="132">
        <f t="shared" ref="O187:O195" ca="1" si="133">IF(L187&gt;0,N187*100/L187,0)</f>
        <v>64.882186340014854</v>
      </c>
      <c r="P187" s="132">
        <f t="shared" ref="P187:P195" ca="1" si="134">IF(M187&gt;0,N187*100/M187,0)</f>
        <v>64.475326447805244</v>
      </c>
      <c r="Q187" s="132">
        <f t="shared" ref="Q187:S187" ca="1" si="135">Q188+Q189</f>
        <v>28000</v>
      </c>
      <c r="R187" s="132">
        <f t="shared" ca="1" si="135"/>
        <v>28000</v>
      </c>
      <c r="S187" s="132">
        <f t="shared" ca="1" si="135"/>
        <v>0</v>
      </c>
      <c r="T187" s="132">
        <f t="shared" ref="T187:T195" ca="1" si="136">IF(Q187&gt;0,S187*100/Q187,0)</f>
        <v>0</v>
      </c>
      <c r="U187" s="132">
        <f t="shared" ref="U187:U195" ca="1" si="137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269400</v>
      </c>
      <c r="M189" s="46">
        <f t="shared" ca="1" si="138"/>
        <v>271100</v>
      </c>
      <c r="N189" s="46">
        <f t="shared" ca="1" si="138"/>
        <v>174792.61</v>
      </c>
      <c r="O189" s="46">
        <f t="shared" ca="1" si="133"/>
        <v>64.882186340014854</v>
      </c>
      <c r="P189" s="46">
        <f t="shared" ca="1" si="134"/>
        <v>64.475326447805244</v>
      </c>
      <c r="Q189" s="46">
        <f t="shared" ca="1" si="139"/>
        <v>28000</v>
      </c>
      <c r="R189" s="46">
        <f t="shared" ca="1" si="139"/>
        <v>28000</v>
      </c>
      <c r="S189" s="46">
        <f t="shared" ca="1" si="139"/>
        <v>0</v>
      </c>
      <c r="T189" s="46">
        <f t="shared" ca="1" si="136"/>
        <v>0</v>
      </c>
      <c r="U189" s="46">
        <f t="shared" ca="1" si="137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269400</v>
      </c>
      <c r="M190" s="46">
        <f t="shared" ca="1" si="140"/>
        <v>271100</v>
      </c>
      <c r="N190" s="46">
        <f t="shared" ca="1" si="140"/>
        <v>174792.61</v>
      </c>
      <c r="O190" s="46">
        <f t="shared" ca="1" si="133"/>
        <v>64.882186340014854</v>
      </c>
      <c r="P190" s="46">
        <f t="shared" ca="1" si="134"/>
        <v>64.475326447805244</v>
      </c>
      <c r="Q190" s="46">
        <f t="shared" ref="Q190:S190" ca="1" si="141">Q191+Q192</f>
        <v>28000</v>
      </c>
      <c r="R190" s="46">
        <f t="shared" ca="1" si="141"/>
        <v>28000</v>
      </c>
      <c r="S190" s="46">
        <f t="shared" ca="1" si="141"/>
        <v>0</v>
      </c>
      <c r="T190" s="46">
        <f t="shared" ca="1" si="136"/>
        <v>0</v>
      </c>
      <c r="U190" s="46">
        <f t="shared" ca="1" si="137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IFERROR(__xludf.DUMMYFUNCTION("IMPORTRANGE(""https://docs.google.com/spreadsheets/d/1-uDff_7J0KD5mKrp0Vvzr7lt3OU09vwQwhkpOPPYv2Y/edit?usp=sharing"",""งบพรบ!CU87"")"),269400)</f>
        <v>269400</v>
      </c>
      <c r="M192" s="46">
        <f ca="1">IFERROR(__xludf.DUMMYFUNCTION("IMPORTRANGE(""https://docs.google.com/spreadsheets/d/1-uDff_7J0KD5mKrp0Vvzr7lt3OU09vwQwhkpOPPYv2Y/edit?usp=sharing"",""งบพรบ!CZ87"")"),271100)</f>
        <v>271100</v>
      </c>
      <c r="N192" s="46">
        <f ca="1">IFERROR(__xludf.DUMMYFUNCTION("IMPORTRANGE(""https://docs.google.com/spreadsheets/d/1-uDff_7J0KD5mKrp0Vvzr7lt3OU09vwQwhkpOPPYv2Y/edit?usp=sharing"",""งบพรบ!DB87"")"),174792.61)</f>
        <v>174792.61</v>
      </c>
      <c r="O192" s="46">
        <f t="shared" ca="1" si="133"/>
        <v>64.882186340014854</v>
      </c>
      <c r="P192" s="46">
        <f t="shared" ca="1" si="134"/>
        <v>64.475326447805244</v>
      </c>
      <c r="Q192" s="46">
        <f ca="1">IFERROR(__xludf.DUMMYFUNCTION("IMPORTRANGE(""https://docs.google.com/spreadsheets/d/1ItG2mGa2ceCfYo0BwxsXqNm01IGEUdYcSSLTEv9YCik/edit?usp=sharing"",""เบิกจ่ายกองทุน!AV87"")"),28000)</f>
        <v>28000</v>
      </c>
      <c r="R192" s="46">
        <f ca="1">IFERROR(__xludf.DUMMYFUNCTION("IMPORTRANGE(""https://docs.google.com/spreadsheets/d/1ItG2mGa2ceCfYo0BwxsXqNm01IGEUdYcSSLTEv9YCik/edit?usp=sharing"",""เบิกจ่ายกองทุน!AW87"")"),28000)</f>
        <v>28000</v>
      </c>
      <c r="S192" s="46">
        <f ca="1">IFERROR(__xludf.DUMMYFUNCTION("IMPORTRANGE(""https://docs.google.com/spreadsheets/d/1ItG2mGa2ceCfYo0BwxsXqNm01IGEUdYcSSLTEv9YCik/edit?usp=sharing"",""เบิกจ่ายกองทุน!AX87"")"),0)</f>
        <v>0</v>
      </c>
      <c r="T192" s="46">
        <f t="shared" ca="1" si="136"/>
        <v>0</v>
      </c>
      <c r="U192" s="46">
        <f t="shared" ca="1" si="137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IFERROR(__xludf.DUMMYFUNCTION("IMPORTRANGE(""https://docs.google.com/spreadsheets/d/1-uDff_7J0KD5mKrp0Vvzr7lt3OU09vwQwhkpOPPYv2Y/edit?usp=sharing"",""งบพรบ!CX87"")"),0)</f>
        <v>0</v>
      </c>
      <c r="M195" s="46">
        <f ca="1">IFERROR(__xludf.DUMMYFUNCTION("IMPORTRANGE(""https://docs.google.com/spreadsheets/d/1-uDff_7J0KD5mKrp0Vvzr7lt3OU09vwQwhkpOPPYv2Y/edit?usp=sharing"",""งบพรบ!DA87"")"),0)</f>
        <v>0</v>
      </c>
      <c r="N195" s="46">
        <f ca="1">IFERROR(__xludf.DUMMYFUNCTION("IMPORTRANGE(""https://docs.google.com/spreadsheets/d/1-uDff_7J0KD5mKrp0Vvzr7lt3OU09vwQwhkpOPPYv2Y/edit?usp=sharing"",""งบพรบ!DC87"")"),0)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IFERROR(__xludf.DUMMYFUNCTION("IMPORTRANGE(""https://docs.google.com/spreadsheets/d/1eHaY18a8A9IcSdp1K8H6x8fbOy06t2VsZHhMHf-1x7Y/edit?usp=sharing"",""แผน!AB87"")"),6000)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IFERROR(__xludf.DUMMYFUNCTION("IMPORTRANGE(""https://docs.google.com/spreadsheets/d/1eHaY18a8A9IcSdp1K8H6x8fbOy06t2VsZHhMHf-1x7Y/edit?usp=sharing"",""แผน!AE87"")"),4)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52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52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2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IFERROR(__xludf.DUMMYFUNCTION("IMPORTRANGE(""https://docs.google.com/spreadsheets/d/1eHaY18a8A9IcSdp1K8H6x8fbOy06t2VsZHhMHf-1x7Y/edit?usp=sharing"",""แผน!AG87"")"),1000)</f>
        <v>1000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IFERROR(__xludf.DUMMYFUNCTION("IMPORTRANGE(""https://docs.google.com/spreadsheets/d/1eHaY18a8A9IcSdp1K8H6x8fbOy06t2VsZHhMHf-1x7Y/edit?usp=sharing"",""แผน!AH87"")"),0)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21" customHeight="1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IFERROR(__xludf.DUMMYFUNCTION("IMPORTRANGE(""https://docs.google.com/spreadsheets/d/1eHaY18a8A9IcSdp1K8H6x8fbOy06t2VsZHhMHf-1x7Y/edit?usp=sharing"",""แผน!AI87"")"),0)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803"/>
      <c r="B208" s="642"/>
      <c r="C208" s="644"/>
      <c r="D208" s="270" t="s">
        <v>89</v>
      </c>
      <c r="E208" s="644"/>
      <c r="F208" s="644"/>
      <c r="G208" s="645"/>
      <c r="H208" s="804" t="s">
        <v>14</v>
      </c>
      <c r="I208" s="805"/>
      <c r="J208" s="805"/>
      <c r="K208" s="179"/>
      <c r="L208" s="519">
        <f ca="1">IFERROR(__xludf.DUMMYFUNCTION("IMPORTRANGE(""https://docs.google.com/spreadsheets/d/1eHaY18a8A9IcSdp1K8H6x8fbOy06t2VsZHhMHf-1x7Y/edit?usp=sharing"",""แผน!AJ87"")"),4000)</f>
        <v>4000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IFERROR(__xludf.DUMMYFUNCTION("IMPORTRANGE(""https://docs.google.com/spreadsheets/d/1eHaY18a8A9IcSdp1K8H6x8fbOy06t2VsZHhMHf-1x7Y/edit?usp=sharing"",""แผน!AK87"")"),2)</f>
        <v>2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IFERROR(__xludf.DUMMYFUNCTION("IMPORTRANGE(""https://docs.google.com/spreadsheets/d/1eHaY18a8A9IcSdp1K8H6x8fbOy06t2VsZHhMHf-1x7Y/edit?usp=sharing"",""แผน!JX87"")"),1)</f>
        <v>1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IFERROR(__xludf.DUMMYFUNCTION("IMPORTRANGE(""https://docs.google.com/spreadsheets/d/1eHaY18a8A9IcSdp1K8H6x8fbOy06t2VsZHhMHf-1x7Y/edit?usp=sharing"",""แผน!JY87"")"),0)</f>
        <v>0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0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IFERROR(__xludf.DUMMYFUNCTION("IMPORTRANGE(""https://docs.google.com/spreadsheets/d/1eHaY18a8A9IcSdp1K8H6x8fbOy06t2VsZHhMHf-1x7Y/edit?usp=sharing"",""แผน!AM87"")"),0)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IFERROR(__xludf.DUMMYFUNCTION("IMPORTRANGE(""https://docs.google.com/spreadsheets/d/1eHaY18a8A9IcSdp1K8H6x8fbOy06t2VsZHhMHf-1x7Y/edit?usp=sharing"",""แผน!AN87"")"),0)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IFERROR(__xludf.DUMMYFUNCTION("IMPORTRANGE(""https://docs.google.com/spreadsheets/d/1eHaY18a8A9IcSdp1K8H6x8fbOy06t2VsZHhMHf-1x7Y/edit?usp=sharing"",""แผน!AO87"")"),0)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IFERROR(__xludf.DUMMYFUNCTION("IMPORTRANGE(""https://docs.google.com/spreadsheets/d/1eHaY18a8A9IcSdp1K8H6x8fbOy06t2VsZHhMHf-1x7Y/edit?usp=sharing"",""แผน!AP87"")"),0)</f>
        <v>0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6400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IFERROR(__xludf.DUMMYFUNCTION("IMPORTRANGE(""https://docs.google.com/spreadsheets/d/1eHaY18a8A9IcSdp1K8H6x8fbOy06t2VsZHhMHf-1x7Y/edit?usp=sharing"",""แผน!AR87"")"),2500)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IFERROR(__xludf.DUMMYFUNCTION("IMPORTRANGE(""https://docs.google.com/spreadsheets/d/1eHaY18a8A9IcSdp1K8H6x8fbOy06t2VsZHhMHf-1x7Y/edit?usp=sharing"",""แผน!AS87"")"),2000)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IFERROR(__xludf.DUMMYFUNCTION("IMPORTRANGE(""https://docs.google.com/spreadsheets/d/1eHaY18a8A9IcSdp1K8H6x8fbOy06t2VsZHhMHf-1x7Y/edit?usp=sharing"",""แผน!AT87"")"),0)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IFERROR(__xludf.DUMMYFUNCTION("IMPORTRANGE(""https://docs.google.com/spreadsheets/d/1eHaY18a8A9IcSdp1K8H6x8fbOy06t2VsZHhMHf-1x7Y/edit?usp=sharing"",""แผน!AV87"")"),6400)</f>
        <v>6400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IFERROR(__xludf.DUMMYFUNCTION("IMPORTRANGE(""https://docs.google.com/spreadsheets/d/1eHaY18a8A9IcSdp1K8H6x8fbOy06t2VsZHhMHf-1x7Y/edit?usp=sharing"",""แผน!AU87"")"),0)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229"/>
      <c r="B232" s="230"/>
      <c r="C232" s="231" t="s">
        <v>105</v>
      </c>
      <c r="D232" s="232"/>
      <c r="E232" s="232"/>
      <c r="F232" s="232"/>
      <c r="G232" s="233"/>
      <c r="H232" s="234" t="s">
        <v>35</v>
      </c>
      <c r="I232" s="235">
        <f t="shared" ref="I232:J232" ca="1" si="151">I243+I254</f>
        <v>0</v>
      </c>
      <c r="J232" s="235">
        <f t="shared" si="151"/>
        <v>0</v>
      </c>
      <c r="K232" s="236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128"/>
      <c r="B233" s="199"/>
      <c r="C233" s="198" t="s">
        <v>18</v>
      </c>
      <c r="D233" s="544" t="s">
        <v>19</v>
      </c>
      <c r="E233" s="199"/>
      <c r="F233" s="199"/>
      <c r="G233" s="42"/>
      <c r="H233" s="239" t="s">
        <v>14</v>
      </c>
      <c r="I233" s="135"/>
      <c r="J233" s="135"/>
      <c r="K233" s="136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128"/>
      <c r="B234" s="159"/>
      <c r="C234" s="199"/>
      <c r="D234" s="270" t="s">
        <v>86</v>
      </c>
      <c r="E234" s="199"/>
      <c r="F234" s="199"/>
      <c r="G234" s="42"/>
      <c r="H234" s="134" t="s">
        <v>14</v>
      </c>
      <c r="I234" s="135"/>
      <c r="J234" s="135"/>
      <c r="K234" s="136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224"/>
      <c r="B235" s="159"/>
      <c r="C235" s="159"/>
      <c r="D235" s="270" t="s">
        <v>88</v>
      </c>
      <c r="E235" s="199"/>
      <c r="F235" s="199"/>
      <c r="G235" s="42"/>
      <c r="H235" s="134" t="s">
        <v>14</v>
      </c>
      <c r="I235" s="44"/>
      <c r="J235" s="44"/>
      <c r="K235" s="45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224"/>
      <c r="B236" s="159"/>
      <c r="C236" s="159"/>
      <c r="D236" s="270" t="s">
        <v>106</v>
      </c>
      <c r="E236" s="199"/>
      <c r="F236" s="199"/>
      <c r="G236" s="42"/>
      <c r="H236" s="134" t="s">
        <v>14</v>
      </c>
      <c r="I236" s="44"/>
      <c r="J236" s="44"/>
      <c r="K236" s="45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224"/>
      <c r="B237" s="159"/>
      <c r="C237" s="159"/>
      <c r="D237" s="270" t="s">
        <v>107</v>
      </c>
      <c r="E237" s="199"/>
      <c r="F237" s="199"/>
      <c r="G237" s="42"/>
      <c r="H237" s="134" t="s">
        <v>14</v>
      </c>
      <c r="I237" s="44"/>
      <c r="J237" s="44"/>
      <c r="K237" s="45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138"/>
      <c r="B238" s="139"/>
      <c r="C238" s="351" t="s">
        <v>18</v>
      </c>
      <c r="D238" s="546" t="s">
        <v>38</v>
      </c>
      <c r="E238" s="141"/>
      <c r="F238" s="141"/>
      <c r="G238" s="142"/>
      <c r="H238" s="143"/>
      <c r="I238" s="135"/>
      <c r="J238" s="44"/>
      <c r="K238" s="45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138"/>
      <c r="B239" s="139"/>
      <c r="C239" s="139"/>
      <c r="D239" s="167" t="s">
        <v>108</v>
      </c>
      <c r="E239" s="169"/>
      <c r="F239" s="169"/>
      <c r="G239" s="143"/>
      <c r="H239" s="247" t="s">
        <v>35</v>
      </c>
      <c r="I239" s="152">
        <f t="shared" ref="I239:J239" ca="1" si="154">I250+I261</f>
        <v>0</v>
      </c>
      <c r="J239" s="152">
        <f t="shared" si="154"/>
        <v>0</v>
      </c>
      <c r="K239" s="46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138"/>
      <c r="B240" s="139"/>
      <c r="C240" s="139"/>
      <c r="D240" s="256" t="s">
        <v>43</v>
      </c>
      <c r="E240" s="169"/>
      <c r="F240" s="169"/>
      <c r="G240" s="143"/>
      <c r="H240" s="143"/>
      <c r="I240" s="44"/>
      <c r="J240" s="44"/>
      <c r="K240" s="45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33" t="s">
        <v>109</v>
      </c>
      <c r="F241" s="169"/>
      <c r="G241" s="143"/>
      <c r="H241" s="247" t="s">
        <v>35</v>
      </c>
      <c r="I241" s="152">
        <f t="shared" ref="I241:J242" si="155">I252+I263</f>
        <v>0</v>
      </c>
      <c r="J241" s="152">
        <f t="shared" si="155"/>
        <v>0</v>
      </c>
      <c r="K241" s="46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138"/>
      <c r="B242" s="139"/>
      <c r="C242" s="139"/>
      <c r="D242" s="139"/>
      <c r="E242" s="333" t="s">
        <v>110</v>
      </c>
      <c r="F242" s="169"/>
      <c r="G242" s="143"/>
      <c r="H242" s="247" t="s">
        <v>61</v>
      </c>
      <c r="I242" s="152">
        <f t="shared" si="155"/>
        <v>0</v>
      </c>
      <c r="J242" s="152">
        <f t="shared" si="155"/>
        <v>0</v>
      </c>
      <c r="K242" s="46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IFERROR(__xludf.DUMMYFUNCTION("IMPORTRANGE(""https://docs.google.com/spreadsheets/d/1eHaY18a8A9IcSdp1K8H6x8fbOy06t2VsZHhMHf-1x7Y/edit?usp=sharing"",""แผน!AX87"")"),0)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IFERROR(__xludf.DUMMYFUNCTION("IMPORTRANGE(""https://docs.google.com/spreadsheets/d/1eHaY18a8A9IcSdp1K8H6x8fbOy06t2VsZHhMHf-1x7Y/edit?usp=sharing"",""แผน!AY87"")"),0)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IFERROR(__xludf.DUMMYFUNCTION("IMPORTRANGE(""https://docs.google.com/spreadsheets/d/1eHaY18a8A9IcSdp1K8H6x8fbOy06t2VsZHhMHf-1x7Y/edit?usp=sharing"",""แผน!AZ87"")"),0)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IFERROR(__xludf.DUMMYFUNCTION("IMPORTRANGE(""https://docs.google.com/spreadsheets/d/1eHaY18a8A9IcSdp1K8H6x8fbOy06t2VsZHhMHf-1x7Y/edit?usp=sharing"",""แผน!BA87"")"),0)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IFERROR(__xludf.DUMMYFUNCTION("IMPORTRANGE(""https://docs.google.com/spreadsheets/d/1eHaY18a8A9IcSdp1K8H6x8fbOy06t2VsZHhMHf-1x7Y/edit?usp=sharing"",""แผน!BG87"")"),0)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IFERROR(__xludf.DUMMYFUNCTION("IMPORTRANGE(""https://docs.google.com/spreadsheets/d/1eHaY18a8A9IcSdp1K8H6x8fbOy06t2VsZHhMHf-1x7Y/edit?usp=sharing"",""แผน!BB87"")"),0)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IFERROR(__xludf.DUMMYFUNCTION("IMPORTRANGE(""https://docs.google.com/spreadsheets/d/1eHaY18a8A9IcSdp1K8H6x8fbOy06t2VsZHhMHf-1x7Y/edit?usp=sharing"",""แผน!BC87"")"),0)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IFERROR(__xludf.DUMMYFUNCTION("IMPORTRANGE(""https://docs.google.com/spreadsheets/d/1eHaY18a8A9IcSdp1K8H6x8fbOy06t2VsZHhMHf-1x7Y/edit?usp=sharing"",""แผน!BD87"")"),0)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IFERROR(__xludf.DUMMYFUNCTION("IMPORTRANGE(""https://docs.google.com/spreadsheets/d/1eHaY18a8A9IcSdp1K8H6x8fbOy06t2VsZHhMHf-1x7Y/edit?usp=sharing"",""แผน!BE87"")"),0)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IFERROR(__xludf.DUMMYFUNCTION("IMPORTRANGE(""https://docs.google.com/spreadsheets/d/1eHaY18a8A9IcSdp1K8H6x8fbOy06t2VsZHhMHf-1x7Y/edit?usp=sharing"",""แผน!BH87"")"),0)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22</v>
      </c>
      <c r="J266" s="613">
        <f t="shared" si="161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2">L268+L269</f>
        <v>0</v>
      </c>
      <c r="M267" s="626">
        <f t="shared" ca="1" si="162"/>
        <v>5000</v>
      </c>
      <c r="N267" s="626">
        <f t="shared" ca="1" si="162"/>
        <v>5000</v>
      </c>
      <c r="O267" s="626">
        <f t="shared" ref="O267:O275" ca="1" si="163">IF(L267&gt;0,N267*100/L267,0)</f>
        <v>0</v>
      </c>
      <c r="P267" s="626">
        <f t="shared" ref="P267:P275" ca="1" si="164">IF(M267&gt;0,N267*100/M267,0)</f>
        <v>100</v>
      </c>
      <c r="Q267" s="626">
        <f t="shared" ref="Q267:S267" ca="1" si="165">Q268+Q269</f>
        <v>50660</v>
      </c>
      <c r="R267" s="626">
        <f t="shared" ca="1" si="165"/>
        <v>50660</v>
      </c>
      <c r="S267" s="626">
        <f t="shared" ca="1" si="165"/>
        <v>1000</v>
      </c>
      <c r="T267" s="626">
        <f t="shared" ref="T267:T275" ca="1" si="166">IF(Q267&gt;0,S267*100/Q267,0)</f>
        <v>1.9739439399921042</v>
      </c>
      <c r="U267" s="626">
        <f t="shared" ref="U267:U275" ca="1" si="167">IF(R267&gt;0,S267*100/R267,0)</f>
        <v>1.9739439399921042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8"/>
        <v>0</v>
      </c>
      <c r="M269" s="630">
        <f t="shared" ca="1" si="168"/>
        <v>5000</v>
      </c>
      <c r="N269" s="630">
        <f t="shared" ca="1" si="168"/>
        <v>5000</v>
      </c>
      <c r="O269" s="630">
        <f t="shared" ca="1" si="163"/>
        <v>0</v>
      </c>
      <c r="P269" s="630">
        <f t="shared" ca="1" si="164"/>
        <v>100</v>
      </c>
      <c r="Q269" s="630">
        <f t="shared" ca="1" si="169"/>
        <v>50660</v>
      </c>
      <c r="R269" s="630">
        <f t="shared" ca="1" si="169"/>
        <v>50660</v>
      </c>
      <c r="S269" s="630">
        <f t="shared" ca="1" si="169"/>
        <v>1000</v>
      </c>
      <c r="T269" s="630">
        <f t="shared" ca="1" si="166"/>
        <v>1.9739439399921042</v>
      </c>
      <c r="U269" s="630">
        <f t="shared" ca="1" si="167"/>
        <v>1.9739439399921042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70">L271+L272</f>
        <v>0</v>
      </c>
      <c r="M270" s="630">
        <f t="shared" ca="1" si="170"/>
        <v>5000</v>
      </c>
      <c r="N270" s="630">
        <f t="shared" ca="1" si="170"/>
        <v>5000</v>
      </c>
      <c r="O270" s="630">
        <f t="shared" ca="1" si="163"/>
        <v>0</v>
      </c>
      <c r="P270" s="630">
        <f t="shared" ca="1" si="164"/>
        <v>100</v>
      </c>
      <c r="Q270" s="630">
        <f t="shared" ref="Q270:S270" ca="1" si="171">Q271+Q272</f>
        <v>50660</v>
      </c>
      <c r="R270" s="630">
        <f t="shared" ca="1" si="171"/>
        <v>50660</v>
      </c>
      <c r="S270" s="630">
        <f t="shared" ca="1" si="171"/>
        <v>1000</v>
      </c>
      <c r="T270" s="630">
        <f t="shared" ca="1" si="166"/>
        <v>1.9739439399921042</v>
      </c>
      <c r="U270" s="630">
        <f t="shared" ca="1" si="167"/>
        <v>1.9739439399921042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IFERROR(__xludf.DUMMYFUNCTION("IMPORTRANGE(""https://docs.google.com/spreadsheets/d/1-uDff_7J0KD5mKrp0Vvzr7lt3OU09vwQwhkpOPPYv2Y/edit?usp=sharing"",""งบพรบ!DE87"")"),0)</f>
        <v>0</v>
      </c>
      <c r="M272" s="630">
        <f ca="1">IFERROR(__xludf.DUMMYFUNCTION("IMPORTRANGE(""https://docs.google.com/spreadsheets/d/1-uDff_7J0KD5mKrp0Vvzr7lt3OU09vwQwhkpOPPYv2Y/edit?usp=sharing"",""งบพรบ!DJ87"")"),5000)</f>
        <v>5000</v>
      </c>
      <c r="N272" s="630">
        <f ca="1">IFERROR(__xludf.DUMMYFUNCTION("IMPORTRANGE(""https://docs.google.com/spreadsheets/d/1-uDff_7J0KD5mKrp0Vvzr7lt3OU09vwQwhkpOPPYv2Y/edit?usp=sharing"",""งบพรบ!DL87"")"),5000)</f>
        <v>5000</v>
      </c>
      <c r="O272" s="630">
        <f t="shared" ca="1" si="163"/>
        <v>0</v>
      </c>
      <c r="P272" s="630">
        <f t="shared" ca="1" si="164"/>
        <v>100</v>
      </c>
      <c r="Q272" s="630">
        <f ca="1">IFERROR(__xludf.DUMMYFUNCTION("IMPORTRANGE(""https://docs.google.com/spreadsheets/d/1ItG2mGa2ceCfYo0BwxsXqNm01IGEUdYcSSLTEv9YCik/edit?usp=sharing"",""เบิกจ่ายกองทุน!AJ87"")"),50660)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IFERROR(__xludf.DUMMYFUNCTION("IMPORTRANGE(""https://docs.google.com/spreadsheets/d/1ItG2mGa2ceCfYo0BwxsXqNm01IGEUdYcSSLTEv9YCik/edit?usp=sharing"",""เบิกจ่ายกองทุน!AK87"")"),50660)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IFERROR(__xludf.DUMMYFUNCTION("IMPORTRANGE(""https://docs.google.com/spreadsheets/d/1ItG2mGa2ceCfYo0BwxsXqNm01IGEUdYcSSLTEv9YCik/edit?usp=sharing"",""เบิกจ่ายกองทุน!AL87"")"),1000)</f>
        <v>1000</v>
      </c>
      <c r="T272" s="630">
        <f t="shared" ca="1" si="166"/>
        <v>1.9739439399921042</v>
      </c>
      <c r="U272" s="630">
        <f t="shared" ca="1" si="167"/>
        <v>1.9739439399921042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2">L274+L275</f>
        <v>0</v>
      </c>
      <c r="M273" s="630">
        <f t="shared" ca="1" si="172"/>
        <v>0</v>
      </c>
      <c r="N273" s="630">
        <f t="shared" ca="1" si="172"/>
        <v>0</v>
      </c>
      <c r="O273" s="630">
        <f t="shared" ca="1" si="163"/>
        <v>0</v>
      </c>
      <c r="P273" s="630">
        <f t="shared" ca="1" si="164"/>
        <v>0</v>
      </c>
      <c r="Q273" s="630">
        <f t="shared" ref="Q273:S273" si="173">Q274+Q275</f>
        <v>0</v>
      </c>
      <c r="R273" s="630">
        <f t="shared" si="173"/>
        <v>0</v>
      </c>
      <c r="S273" s="630">
        <f t="shared" si="173"/>
        <v>0</v>
      </c>
      <c r="T273" s="630">
        <f t="shared" si="166"/>
        <v>0</v>
      </c>
      <c r="U273" s="630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IFERROR(__xludf.DUMMYFUNCTION("IMPORTRANGE(""https://docs.google.com/spreadsheets/d/1-uDff_7J0KD5mKrp0Vvzr7lt3OU09vwQwhkpOPPYv2Y/edit?usp=sharing"",""งบพรบ!DH87"")"),0)</f>
        <v>0</v>
      </c>
      <c r="M275" s="630">
        <f ca="1">IFERROR(__xludf.DUMMYFUNCTION("IMPORTRANGE(""https://docs.google.com/spreadsheets/d/1-uDff_7J0KD5mKrp0Vvzr7lt3OU09vwQwhkpOPPYv2Y/edit?usp=sharing"",""งบพรบ!DK87"")"),0)</f>
        <v>0</v>
      </c>
      <c r="N275" s="630">
        <f ca="1">IFERROR(__xludf.DUMMYFUNCTION("IMPORTRANGE(""https://docs.google.com/spreadsheets/d/1-uDff_7J0KD5mKrp0Vvzr7lt3OU09vwQwhkpOPPYv2Y/edit?usp=sharing"",""งบพรบ!DM87"")"),0)</f>
        <v>0</v>
      </c>
      <c r="O275" s="630">
        <f t="shared" ca="1" si="163"/>
        <v>0</v>
      </c>
      <c r="P275" s="630">
        <f t="shared" ca="1" si="164"/>
        <v>0</v>
      </c>
      <c r="Q275" s="630">
        <v>0</v>
      </c>
      <c r="R275" s="630">
        <v>0</v>
      </c>
      <c r="S275" s="630">
        <v>0</v>
      </c>
      <c r="T275" s="630">
        <f t="shared" si="166"/>
        <v>0</v>
      </c>
      <c r="U275" s="630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IFERROR(__xludf.DUMMYFUNCTION("IMPORTRANGE(""https://docs.google.com/spreadsheets/d/1eHaY18a8A9IcSdp1K8H6x8fbOy06t2VsZHhMHf-1x7Y/edit?usp=sharing"",""แผน!EC87"")"),22)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0</v>
      </c>
      <c r="J281" s="298">
        <f t="shared" si="174"/>
        <v>0</v>
      </c>
      <c r="K281" s="299">
        <f t="shared" ref="K281:K282" ca="1" si="175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0</v>
      </c>
      <c r="J282" s="298">
        <f t="shared" si="176"/>
        <v>0</v>
      </c>
      <c r="K282" s="299">
        <f t="shared" ca="1" si="175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0</v>
      </c>
      <c r="M283" s="132">
        <f t="shared" ca="1" si="177"/>
        <v>0</v>
      </c>
      <c r="N283" s="132">
        <f t="shared" ca="1" si="177"/>
        <v>0</v>
      </c>
      <c r="O283" s="132">
        <f t="shared" ref="O283:O291" ca="1" si="178">IF(L283&gt;0,N283*100/L283,0)</f>
        <v>0</v>
      </c>
      <c r="P283" s="132">
        <f t="shared" ref="P283:P291" ca="1" si="179">IF(M283&gt;0,N283*100/M283,0)</f>
        <v>0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0</v>
      </c>
      <c r="M285" s="46">
        <f t="shared" ca="1" si="183"/>
        <v>0</v>
      </c>
      <c r="N285" s="46">
        <f t="shared" ca="1" si="183"/>
        <v>0</v>
      </c>
      <c r="O285" s="46">
        <f t="shared" ca="1" si="178"/>
        <v>0</v>
      </c>
      <c r="P285" s="46">
        <f t="shared" ca="1" si="179"/>
        <v>0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0</v>
      </c>
      <c r="M286" s="46">
        <f t="shared" ca="1" si="185"/>
        <v>0</v>
      </c>
      <c r="N286" s="46">
        <f t="shared" ca="1" si="185"/>
        <v>0</v>
      </c>
      <c r="O286" s="46">
        <f t="shared" ca="1" si="178"/>
        <v>0</v>
      </c>
      <c r="P286" s="46">
        <f t="shared" ca="1" si="179"/>
        <v>0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IFERROR(__xludf.DUMMYFUNCTION("IMPORTRANGE(""https://docs.google.com/spreadsheets/d/1-uDff_7J0KD5mKrp0Vvzr7lt3OU09vwQwhkpOPPYv2Y/edit?usp=sharing"",""งบพรบ!DO87"")"),0)</f>
        <v>0</v>
      </c>
      <c r="M288" s="46">
        <f ca="1">IFERROR(__xludf.DUMMYFUNCTION("IMPORTRANGE(""https://docs.google.com/spreadsheets/d/1-uDff_7J0KD5mKrp0Vvzr7lt3OU09vwQwhkpOPPYv2Y/edit?usp=sharing"",""งบพรบ!DT87"")"),0)</f>
        <v>0</v>
      </c>
      <c r="N288" s="46">
        <f ca="1">IFERROR(__xludf.DUMMYFUNCTION("IMPORTRANGE(""https://docs.google.com/spreadsheets/d/1-uDff_7J0KD5mKrp0Vvzr7lt3OU09vwQwhkpOPPYv2Y/edit?usp=sharing"",""งบพรบ!DV87"")"),0)</f>
        <v>0</v>
      </c>
      <c r="O288" s="46">
        <f t="shared" ca="1" si="178"/>
        <v>0</v>
      </c>
      <c r="P288" s="46">
        <f t="shared" ca="1" si="179"/>
        <v>0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IFERROR(__xludf.DUMMYFUNCTION("IMPORTRANGE(""https://docs.google.com/spreadsheets/d/1-uDff_7J0KD5mKrp0Vvzr7lt3OU09vwQwhkpOPPYv2Y/edit?usp=sharing"",""งบพรบ!DR87"")"),0)</f>
        <v>0</v>
      </c>
      <c r="M291" s="46">
        <f ca="1">IFERROR(__xludf.DUMMYFUNCTION("IMPORTRANGE(""https://docs.google.com/spreadsheets/d/1-uDff_7J0KD5mKrp0Vvzr7lt3OU09vwQwhkpOPPYv2Y/edit?usp=sharing"",""งบพรบ!DU87"")"),0)</f>
        <v>0</v>
      </c>
      <c r="N291" s="46">
        <f ca="1">IFERROR(__xludf.DUMMYFUNCTION("IMPORTRANGE(""https://docs.google.com/spreadsheets/d/1-uDff_7J0KD5mKrp0Vvzr7lt3OU09vwQwhkpOPPYv2Y/edit?usp=sharing"",""งบพรบ!DW87"")"),0)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IFERROR(__xludf.DUMMYFUNCTION("IMPORTRANGE(""https://docs.google.com/spreadsheets/d/1eHaY18a8A9IcSdp1K8H6x8fbOy06t2VsZHhMHf-1x7Y/edit?usp=sharing"",""แผน!EE87"")"),0)</f>
        <v>0</v>
      </c>
      <c r="J293" s="168">
        <v>0</v>
      </c>
      <c r="K293" s="153">
        <f t="shared" ref="K293:K294" ca="1" si="189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IFERROR(__xludf.DUMMYFUNCTION("IMPORTRANGE(""https://docs.google.com/spreadsheets/d/1eHaY18a8A9IcSdp1K8H6x8fbOy06t2VsZHhMHf-1x7Y/edit?usp=sharing"",""แผน!ED87"")"),0)</f>
        <v>0</v>
      </c>
      <c r="J294" s="147">
        <f>J297</f>
        <v>0</v>
      </c>
      <c r="K294" s="148">
        <f t="shared" ca="1" si="189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IFERROR(__xludf.DUMMYFUNCTION("IMPORTRANGE(""https://docs.google.com/spreadsheets/d/1eHaY18a8A9IcSdp1K8H6x8fbOy06t2VsZHhMHf-1x7Y/edit?usp=sharing"",""แผน!ED87"")"),0)</f>
        <v>0</v>
      </c>
      <c r="J296" s="168">
        <v>0</v>
      </c>
      <c r="K296" s="153">
        <f t="shared" ref="K296:K297" ca="1" si="190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IFERROR(__xludf.DUMMYFUNCTION("IMPORTRANGE(""https://docs.google.com/spreadsheets/d/1eHaY18a8A9IcSdp1K8H6x8fbOy06t2VsZHhMHf-1x7Y/edit?usp=sharing"",""แผน!ED87"")"),0)</f>
        <v>0</v>
      </c>
      <c r="J297" s="168">
        <v>0</v>
      </c>
      <c r="K297" s="153">
        <f t="shared" ca="1" si="190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25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0</v>
      </c>
      <c r="M304" s="132">
        <f t="shared" ca="1" si="192"/>
        <v>0</v>
      </c>
      <c r="N304" s="132">
        <f t="shared" ca="1" si="192"/>
        <v>0</v>
      </c>
      <c r="O304" s="132">
        <f t="shared" ref="O304:O312" ca="1" si="193">IF(L304&gt;0,N304*100/L304,0)</f>
        <v>0</v>
      </c>
      <c r="P304" s="132">
        <f t="shared" ref="P304:P312" ca="1" si="194">IF(M304&gt;0,N304*100/M304,0)</f>
        <v>0</v>
      </c>
      <c r="Q304" s="132">
        <f t="shared" ref="Q304:S304" ca="1" si="195">Q305+Q306</f>
        <v>226234.22</v>
      </c>
      <c r="R304" s="132">
        <f t="shared" ca="1" si="195"/>
        <v>226234</v>
      </c>
      <c r="S304" s="132">
        <f t="shared" ca="1" si="195"/>
        <v>0</v>
      </c>
      <c r="T304" s="132">
        <f t="shared" ref="T304:T312" ca="1" si="196">IF(Q304&gt;0,S304*100/Q304,0)</f>
        <v>0</v>
      </c>
      <c r="U304" s="132">
        <f t="shared" ref="U304:U312" ca="1" si="197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0</v>
      </c>
      <c r="M306" s="46">
        <f t="shared" ca="1" si="198"/>
        <v>0</v>
      </c>
      <c r="N306" s="46">
        <f t="shared" ca="1" si="198"/>
        <v>0</v>
      </c>
      <c r="O306" s="46">
        <f t="shared" ca="1" si="193"/>
        <v>0</v>
      </c>
      <c r="P306" s="46">
        <f t="shared" ca="1" si="194"/>
        <v>0</v>
      </c>
      <c r="Q306" s="46">
        <f t="shared" ca="1" si="199"/>
        <v>226234.22</v>
      </c>
      <c r="R306" s="46">
        <f t="shared" ca="1" si="199"/>
        <v>226234</v>
      </c>
      <c r="S306" s="46">
        <f t="shared" ca="1" si="199"/>
        <v>0</v>
      </c>
      <c r="T306" s="46">
        <f t="shared" ca="1" si="196"/>
        <v>0</v>
      </c>
      <c r="U306" s="46">
        <f t="shared" ca="1" si="197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0</v>
      </c>
      <c r="M307" s="46">
        <f t="shared" ca="1" si="200"/>
        <v>0</v>
      </c>
      <c r="N307" s="46">
        <f t="shared" ca="1" si="200"/>
        <v>0</v>
      </c>
      <c r="O307" s="46">
        <f t="shared" ca="1" si="193"/>
        <v>0</v>
      </c>
      <c r="P307" s="46">
        <f t="shared" ca="1" si="194"/>
        <v>0</v>
      </c>
      <c r="Q307" s="46">
        <f t="shared" ref="Q307:S307" ca="1" si="201">Q308+Q309</f>
        <v>226234.22</v>
      </c>
      <c r="R307" s="46">
        <f t="shared" ca="1" si="201"/>
        <v>226234</v>
      </c>
      <c r="S307" s="46">
        <f t="shared" ca="1" si="201"/>
        <v>0</v>
      </c>
      <c r="T307" s="46">
        <f t="shared" ca="1" si="196"/>
        <v>0</v>
      </c>
      <c r="U307" s="46">
        <f t="shared" ca="1" si="197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IFERROR(__xludf.DUMMYFUNCTION("IMPORTRANGE(""https://docs.google.com/spreadsheets/d/1-uDff_7J0KD5mKrp0Vvzr7lt3OU09vwQwhkpOPPYv2Y/edit?usp=sharing"",""งบพรบ!DY87"")"),0)</f>
        <v>0</v>
      </c>
      <c r="M309" s="46">
        <f ca="1">IFERROR(__xludf.DUMMYFUNCTION("IMPORTRANGE(""https://docs.google.com/spreadsheets/d/1-uDff_7J0KD5mKrp0Vvzr7lt3OU09vwQwhkpOPPYv2Y/edit?usp=sharing"",""งบพรบ!ED87"")"),0)</f>
        <v>0</v>
      </c>
      <c r="N309" s="46">
        <f ca="1">IFERROR(__xludf.DUMMYFUNCTION("IMPORTRANGE(""https://docs.google.com/spreadsheets/d/1-uDff_7J0KD5mKrp0Vvzr7lt3OU09vwQwhkpOPPYv2Y/edit?usp=sharing"",""งบพรบ!EF87"")"),0)</f>
        <v>0</v>
      </c>
      <c r="O309" s="46">
        <f t="shared" ca="1" si="193"/>
        <v>0</v>
      </c>
      <c r="P309" s="46">
        <f t="shared" ca="1" si="194"/>
        <v>0</v>
      </c>
      <c r="Q309" s="46">
        <f ca="1">IFERROR(__xludf.DUMMYFUNCTION("IMPORTRANGE(""https://docs.google.com/spreadsheets/d/1ItG2mGa2ceCfYo0BwxsXqNm01IGEUdYcSSLTEv9YCik/edit?usp=sharing"",""เบิกจ่ายกองทุน!AP87"")"),226234.22)</f>
        <v>226234.22</v>
      </c>
      <c r="R309" s="46">
        <f ca="1">IFERROR(__xludf.DUMMYFUNCTION("IMPORTRANGE(""https://docs.google.com/spreadsheets/d/1ItG2mGa2ceCfYo0BwxsXqNm01IGEUdYcSSLTEv9YCik/edit?usp=sharing"",""เบิกจ่ายกองทุน!AQ87"")"),226234)</f>
        <v>226234</v>
      </c>
      <c r="S309" s="46">
        <f ca="1">IFERROR(__xludf.DUMMYFUNCTION("IMPORTRANGE(""https://docs.google.com/spreadsheets/d/1ItG2mGa2ceCfYo0BwxsXqNm01IGEUdYcSSLTEv9YCik/edit?usp=sharing"",""เบิกจ่ายกองทุน!AR87"")"),0)</f>
        <v>0</v>
      </c>
      <c r="T309" s="46">
        <f t="shared" ca="1" si="196"/>
        <v>0</v>
      </c>
      <c r="U309" s="46">
        <f t="shared" ca="1" si="197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IFERROR(__xludf.DUMMYFUNCTION("IMPORTRANGE(""https://docs.google.com/spreadsheets/d/1-uDff_7J0KD5mKrp0Vvzr7lt3OU09vwQwhkpOPPYv2Y/edit?usp=sharing"",""งบพรบ!EB87"")"),0)</f>
        <v>0</v>
      </c>
      <c r="M312" s="46">
        <f ca="1">IFERROR(__xludf.DUMMYFUNCTION("IMPORTRANGE(""https://docs.google.com/spreadsheets/d/1-uDff_7J0KD5mKrp0Vvzr7lt3OU09vwQwhkpOPPYv2Y/edit?usp=sharing"",""งบพรบ!EE87"")"),0)</f>
        <v>0</v>
      </c>
      <c r="N312" s="46">
        <f ca="1">IFERROR(__xludf.DUMMYFUNCTION("IMPORTRANGE(""https://docs.google.com/spreadsheets/d/1-uDff_7J0KD5mKrp0Vvzr7lt3OU09vwQwhkpOPPYv2Y/edit?usp=sharing"",""งบพรบ!EG87"")"),0)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IFERROR(__xludf.DUMMYFUNCTION("IMPORTRANGE(""https://docs.google.com/spreadsheets/d/1eHaY18a8A9IcSdp1K8H6x8fbOy06t2VsZHhMHf-1x7Y/edit?usp=sharing"",""แผน!EF87"")"),25)</f>
        <v>25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0</v>
      </c>
      <c r="J320" s="321">
        <f t="shared" si="204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0</v>
      </c>
      <c r="M321" s="132">
        <f t="shared" ca="1" si="205"/>
        <v>0</v>
      </c>
      <c r="N321" s="132">
        <f t="shared" ca="1" si="205"/>
        <v>0</v>
      </c>
      <c r="O321" s="132">
        <f t="shared" ref="O321:O329" ca="1" si="206">IF(L321&gt;0,N321*100/L321,0)</f>
        <v>0</v>
      </c>
      <c r="P321" s="132">
        <f t="shared" ref="P321:P329" ca="1" si="207">IF(M321&gt;0,N321*100/M321,0)</f>
        <v>0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0</v>
      </c>
      <c r="M323" s="46">
        <f t="shared" ca="1" si="211"/>
        <v>0</v>
      </c>
      <c r="N323" s="46">
        <f t="shared" ca="1" si="211"/>
        <v>0</v>
      </c>
      <c r="O323" s="46">
        <f t="shared" ca="1" si="206"/>
        <v>0</v>
      </c>
      <c r="P323" s="46">
        <f t="shared" ca="1" si="207"/>
        <v>0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0</v>
      </c>
      <c r="M324" s="46">
        <f t="shared" ca="1" si="213"/>
        <v>0</v>
      </c>
      <c r="N324" s="46">
        <f t="shared" ca="1" si="213"/>
        <v>0</v>
      </c>
      <c r="O324" s="46">
        <f t="shared" ca="1" si="206"/>
        <v>0</v>
      </c>
      <c r="P324" s="46">
        <f t="shared" ca="1" si="207"/>
        <v>0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IFERROR(__xludf.DUMMYFUNCTION("IMPORTRANGE(""https://docs.google.com/spreadsheets/d/1-uDff_7J0KD5mKrp0Vvzr7lt3OU09vwQwhkpOPPYv2Y/edit?usp=sharing"",""งบพรบ!EI87"")"),0)</f>
        <v>0</v>
      </c>
      <c r="M326" s="46">
        <f ca="1">IFERROR(__xludf.DUMMYFUNCTION("IMPORTRANGE(""https://docs.google.com/spreadsheets/d/1-uDff_7J0KD5mKrp0Vvzr7lt3OU09vwQwhkpOPPYv2Y/edit?usp=sharing"",""งบพรบ!EN87"")"),0)</f>
        <v>0</v>
      </c>
      <c r="N326" s="46">
        <f ca="1">IFERROR(__xludf.DUMMYFUNCTION("IMPORTRANGE(""https://docs.google.com/spreadsheets/d/1-uDff_7J0KD5mKrp0Vvzr7lt3OU09vwQwhkpOPPYv2Y/edit?usp=sharing"",""งบพรบ!EP87"")"),0)</f>
        <v>0</v>
      </c>
      <c r="O326" s="46">
        <f t="shared" ca="1" si="206"/>
        <v>0</v>
      </c>
      <c r="P326" s="46">
        <f t="shared" ca="1" si="207"/>
        <v>0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IFERROR(__xludf.DUMMYFUNCTION("IMPORTRANGE(""https://docs.google.com/spreadsheets/d/1-uDff_7J0KD5mKrp0Vvzr7lt3OU09vwQwhkpOPPYv2Y/edit?usp=sharing"",""งบพรบ!EL87"")"),0)</f>
        <v>0</v>
      </c>
      <c r="M329" s="46">
        <f ca="1">IFERROR(__xludf.DUMMYFUNCTION("IMPORTRANGE(""https://docs.google.com/spreadsheets/d/1-uDff_7J0KD5mKrp0Vvzr7lt3OU09vwQwhkpOPPYv2Y/edit?usp=sharing"",""งบพรบ!EO87"")"),0)</f>
        <v>0</v>
      </c>
      <c r="N329" s="46">
        <f ca="1">IFERROR(__xludf.DUMMYFUNCTION("IMPORTRANGE(""https://docs.google.com/spreadsheets/d/1-uDff_7J0KD5mKrp0Vvzr7lt3OU09vwQwhkpOPPYv2Y/edit?usp=sharing"",""งบพรบ!EQ87"")"),0)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IFERROR(__xludf.DUMMYFUNCTION("IMPORTRANGE(""https://docs.google.com/spreadsheets/d/1eHaY18a8A9IcSdp1K8H6x8fbOy06t2VsZHhMHf-1x7Y/edit?usp=sharing"",""แผน!EJ87"")"),0)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140</v>
      </c>
      <c r="J333" s="665">
        <f ca="1">J345+J348+J349+J350+J354</f>
        <v>532</v>
      </c>
      <c r="K333" s="666">
        <f ca="1">IF(I333&gt;0,J333*100/I333,0)</f>
        <v>380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216600</v>
      </c>
      <c r="M334" s="132">
        <f t="shared" ca="1" si="217"/>
        <v>221600</v>
      </c>
      <c r="N334" s="132">
        <f t="shared" ca="1" si="217"/>
        <v>118749</v>
      </c>
      <c r="O334" s="132">
        <f t="shared" ref="O334:O342" ca="1" si="218">IF(L334&gt;0,N334*100/L334,0)</f>
        <v>54.82409972299169</v>
      </c>
      <c r="P334" s="132">
        <f t="shared" ref="P334:P342" ca="1" si="219">IF(M334&gt;0,N334*100/M334,0)</f>
        <v>53.587093862815884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216600</v>
      </c>
      <c r="M336" s="46">
        <f t="shared" ca="1" si="223"/>
        <v>221600</v>
      </c>
      <c r="N336" s="46">
        <f t="shared" ca="1" si="223"/>
        <v>118749</v>
      </c>
      <c r="O336" s="46">
        <f t="shared" ca="1" si="218"/>
        <v>54.82409972299169</v>
      </c>
      <c r="P336" s="46">
        <f t="shared" ca="1" si="219"/>
        <v>53.587093862815884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216600</v>
      </c>
      <c r="M337" s="46">
        <f t="shared" ca="1" si="225"/>
        <v>221600</v>
      </c>
      <c r="N337" s="46">
        <f t="shared" ca="1" si="225"/>
        <v>118749</v>
      </c>
      <c r="O337" s="46">
        <f t="shared" ca="1" si="218"/>
        <v>54.82409972299169</v>
      </c>
      <c r="P337" s="46">
        <f t="shared" ca="1" si="219"/>
        <v>53.587093862815884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IFERROR(__xludf.DUMMYFUNCTION("IMPORTRANGE(""https://docs.google.com/spreadsheets/d/1-uDff_7J0KD5mKrp0Vvzr7lt3OU09vwQwhkpOPPYv2Y/edit?usp=sharing"",""งบพรบ!ES87"")"),216600)</f>
        <v>216600</v>
      </c>
      <c r="M339" s="46">
        <f ca="1">IFERROR(__xludf.DUMMYFUNCTION("IMPORTRANGE(""https://docs.google.com/spreadsheets/d/1-uDff_7J0KD5mKrp0Vvzr7lt3OU09vwQwhkpOPPYv2Y/edit?usp=sharing"",""งบพรบ!EX87"")"),221600)</f>
        <v>221600</v>
      </c>
      <c r="N339" s="46">
        <f ca="1">IFERROR(__xludf.DUMMYFUNCTION("IMPORTRANGE(""https://docs.google.com/spreadsheets/d/1-uDff_7J0KD5mKrp0Vvzr7lt3OU09vwQwhkpOPPYv2Y/edit?usp=sharing"",""งบพรบ!EZ87"")"),118749)</f>
        <v>118749</v>
      </c>
      <c r="O339" s="46">
        <f t="shared" ca="1" si="218"/>
        <v>54.82409972299169</v>
      </c>
      <c r="P339" s="46">
        <f t="shared" ca="1" si="219"/>
        <v>53.587093862815884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IFERROR(__xludf.DUMMYFUNCTION("IMPORTRANGE(""https://docs.google.com/spreadsheets/d/1-uDff_7J0KD5mKrp0Vvzr7lt3OU09vwQwhkpOPPYv2Y/edit?usp=sharing"",""งบพรบ!EV87"")"),0)</f>
        <v>0</v>
      </c>
      <c r="M342" s="46">
        <f ca="1">IFERROR(__xludf.DUMMYFUNCTION("IMPORTRANGE(""https://docs.google.com/spreadsheets/d/1-uDff_7J0KD5mKrp0Vvzr7lt3OU09vwQwhkpOPPYv2Y/edit?usp=sharing"",""งบพรบ!EY87"")"),0)</f>
        <v>0</v>
      </c>
      <c r="N342" s="46">
        <f ca="1">IFERROR(__xludf.DUMMYFUNCTION("IMPORTRANGE(""https://docs.google.com/spreadsheets/d/1-uDff_7J0KD5mKrp0Vvzr7lt3OU09vwQwhkpOPPYv2Y/edit?usp=sharing"",""งบพรบ!FA87"")"),0)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181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IFERROR(__xludf.DUMMYFUNCTION("IMPORTRANGE(""https://docs.google.com/spreadsheets/d/1eHaY18a8A9IcSdp1K8H6x8fbOy06t2VsZHhMHf-1x7Y/edit?usp=sharing"",""แผน!EK87"")"),140)</f>
        <v>140</v>
      </c>
      <c r="J345" s="152">
        <f ca="1">IFERROR(__xludf.DUMMYFUNCTION("IMPORTRANGE(""https://docs.google.com/spreadsheets/d/1awYsYK3VOup2i3Pq_Yjnu8DRu_mYwSBnCR2QPthd0rU/edit?usp=sharing"",""ศูนย์ยกเว้นโฉนด!D87"")"),74)</f>
        <v>74</v>
      </c>
      <c r="K345" s="46">
        <f ca="1">IF(I345&gt;0,J345*100/I345,0)</f>
        <v>52.857142857142854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IFERROR(__xludf.DUMMYFUNCTION("IMPORTRANGE(""https://docs.google.com/spreadsheets/d/1eHaY18a8A9IcSdp1K8H6x8fbOy06t2VsZHhMHf-1x7Y/edit?usp=sharing"",""แผน!EL87"")"),1)</f>
        <v>1</v>
      </c>
      <c r="J347" s="152">
        <f ca="1">IFERROR(__xludf.DUMMYFUNCTION("IMPORTRANGE(""https://docs.google.com/spreadsheets/d/1awYsYK3VOup2i3Pq_Yjnu8DRu_mYwSBnCR2QPthd0rU/edit?usp=sharing"",""ศูนย์รวม!E87"")"),3)</f>
        <v>3</v>
      </c>
      <c r="K347" s="46">
        <f ca="1">IF(I347&gt;0,J347*100/I347,0)</f>
        <v>300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396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IFERROR(__xludf.DUMMYFUNCTION("IMPORTRANGE(""https://docs.google.com/spreadsheets/d/1awYsYK3VOup2i3Pq_Yjnu8DRu_mYwSBnCR2QPthd0rU/edit?usp=sharing"",""โฉนดM3!G87"")"),45)</f>
        <v>45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IFERROR(__xludf.DUMMYFUNCTION("IMPORTRANGE(""https://docs.google.com/spreadsheets/d/1awYsYK3VOup2i3Pq_Yjnu8DRu_mYwSBnCR2QPthd0rU/edit?usp=sharing"",""โฉนดM3!H87"")"),351)</f>
        <v>351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142885</v>
      </c>
      <c r="M357" s="132">
        <f t="shared" ca="1" si="229"/>
        <v>142885</v>
      </c>
      <c r="N357" s="132">
        <f t="shared" ca="1" si="229"/>
        <v>67996.740000000005</v>
      </c>
      <c r="O357" s="132">
        <f t="shared" ref="O357:O365" ca="1" si="230">IF(L357&gt;0,N357*100/L357,0)</f>
        <v>47.588438254540371</v>
      </c>
      <c r="P357" s="132">
        <f t="shared" ref="P357:P365" ca="1" si="231">IF(M357&gt;0,N357*100/M357,0)</f>
        <v>47.588438254540371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142885</v>
      </c>
      <c r="M359" s="46">
        <f t="shared" ca="1" si="235"/>
        <v>142885</v>
      </c>
      <c r="N359" s="46">
        <f t="shared" ca="1" si="235"/>
        <v>67996.740000000005</v>
      </c>
      <c r="O359" s="46">
        <f t="shared" ca="1" si="230"/>
        <v>47.588438254540371</v>
      </c>
      <c r="P359" s="46">
        <f t="shared" ca="1" si="231"/>
        <v>47.588438254540371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142885</v>
      </c>
      <c r="M360" s="46">
        <f t="shared" ca="1" si="237"/>
        <v>142885</v>
      </c>
      <c r="N360" s="46">
        <f t="shared" ca="1" si="237"/>
        <v>67996.740000000005</v>
      </c>
      <c r="O360" s="46">
        <f t="shared" ca="1" si="230"/>
        <v>47.588438254540371</v>
      </c>
      <c r="P360" s="46">
        <f t="shared" ca="1" si="231"/>
        <v>47.588438254540371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IFERROR(__xludf.DUMMYFUNCTION("IMPORTRANGE(""https://docs.google.com/spreadsheets/d/1-uDff_7J0KD5mKrp0Vvzr7lt3OU09vwQwhkpOPPYv2Y/edit?usp=sharing"",""งบพรบ!FC87"")"),142885)</f>
        <v>142885</v>
      </c>
      <c r="M362" s="46">
        <f ca="1">IFERROR(__xludf.DUMMYFUNCTION("IMPORTRANGE(""https://docs.google.com/spreadsheets/d/1-uDff_7J0KD5mKrp0Vvzr7lt3OU09vwQwhkpOPPYv2Y/edit?usp=sharing"",""งบพรบ!FH87"")"),142885)</f>
        <v>142885</v>
      </c>
      <c r="N362" s="46">
        <f ca="1">IFERROR(__xludf.DUMMYFUNCTION("IMPORTRANGE(""https://docs.google.com/spreadsheets/d/1-uDff_7J0KD5mKrp0Vvzr7lt3OU09vwQwhkpOPPYv2Y/edit?usp=sharing"",""งบพรบ!FJ87"")"),67996.74)</f>
        <v>67996.740000000005</v>
      </c>
      <c r="O362" s="46">
        <f t="shared" ca="1" si="230"/>
        <v>47.588438254540371</v>
      </c>
      <c r="P362" s="46">
        <f t="shared" ca="1" si="231"/>
        <v>47.588438254540371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IFERROR(__xludf.DUMMYFUNCTION("IMPORTRANGE(""https://docs.google.com/spreadsheets/d/1-uDff_7J0KD5mKrp0Vvzr7lt3OU09vwQwhkpOPPYv2Y/edit?usp=sharing"",""งบพรบ!FF87"")"),0)</f>
        <v>0</v>
      </c>
      <c r="M365" s="46">
        <f ca="1">IFERROR(__xludf.DUMMYFUNCTION("IMPORTRANGE(""https://docs.google.com/spreadsheets/d/1-uDff_7J0KD5mKrp0Vvzr7lt3OU09vwQwhkpOPPYv2Y/edit?usp=sharing"",""งบพรบ!FI87"")"),0)</f>
        <v>0</v>
      </c>
      <c r="N365" s="46">
        <f ca="1">IFERROR(__xludf.DUMMYFUNCTION("IMPORTRANGE(""https://docs.google.com/spreadsheets/d/1-uDff_7J0KD5mKrp0Vvzr7lt3OU09vwQwhkpOPPYv2Y/edit?usp=sharing"",""งบพรบ!FK87"")"),0)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28</v>
      </c>
      <c r="J366" s="235">
        <f t="shared" ca="1" si="241"/>
        <v>52</v>
      </c>
      <c r="K366" s="236">
        <f ca="1">IF(I366&gt;0,J366*100/I366,0)</f>
        <v>185.71428571428572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IFERROR(__xludf.DUMMYFUNCTION("IMPORTRANGE(""https://docs.google.com/spreadsheets/d/1tdoBKaGub7dwA3U6UFTqxio9LNnvDCQjHKmttSEBsFQ/edit?usp=sharing"",""จัดที่ดิน!AB87"")"),24)</f>
        <v>24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IFERROR(__xludf.DUMMYFUNCTION("IMPORTRANGE(""https://docs.google.com/spreadsheets/d/1eHaY18a8A9IcSdp1K8H6x8fbOy06t2VsZHhMHf-1x7Y/edit?usp=sharing"",""แผน!EW87"")"),265)</f>
        <v>265</v>
      </c>
      <c r="J369" s="676">
        <f ca="1">IFERROR(__xludf.DUMMYFUNCTION("IMPORTRANGE(""https://docs.google.com/spreadsheets/d/1tdoBKaGub7dwA3U6UFTqxio9LNnvDCQjHKmttSEBsFQ/edit?usp=sharing"",""จัดที่ดิน!AC87"")"),198.91)</f>
        <v>198.91</v>
      </c>
      <c r="K369" s="46">
        <f t="shared" ca="1" si="242"/>
        <v>75.06037735849057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IFERROR(__xludf.DUMMYFUNCTION("IMPORTRANGE(""https://docs.google.com/spreadsheets/d/1eHaY18a8A9IcSdp1K8H6x8fbOy06t2VsZHhMHf-1x7Y/edit?usp=sharing"",""แผน!EX87"")"),38)</f>
        <v>38</v>
      </c>
      <c r="J370" s="152">
        <f ca="1">IFERROR(__xludf.DUMMYFUNCTION("IMPORTRANGE(""https://docs.google.com/spreadsheets/d/1tdoBKaGub7dwA3U6UFTqxio9LNnvDCQjHKmttSEBsFQ/edit?usp=sharing"",""จัดที่ดิน!AD87"")"),76)</f>
        <v>76</v>
      </c>
      <c r="K370" s="46">
        <f t="shared" ca="1" si="242"/>
        <v>200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IFERROR(__xludf.DUMMYFUNCTION("IMPORTRANGE(""https://docs.google.com/spreadsheets/d/1tdoBKaGub7dwA3U6UFTqxio9LNnvDCQjHKmttSEBsFQ/edit?usp=sharing"",""จัดที่ดิน!AE87"")"),578.9)</f>
        <v>578.9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IFERROR(__xludf.DUMMYFUNCTION("IMPORTRANGE(""https://docs.google.com/spreadsheets/d/1eHaY18a8A9IcSdp1K8H6x8fbOy06t2VsZHhMHf-1x7Y/edit?usp=sharing"",""แผน!EY87"")"),28)</f>
        <v>28</v>
      </c>
      <c r="J372" s="152">
        <f ca="1">IFERROR(__xludf.DUMMYFUNCTION("IMPORTRANGE(""https://docs.google.com/spreadsheets/d/1tdoBKaGub7dwA3U6UFTqxio9LNnvDCQjHKmttSEBsFQ/edit?usp=sharing"",""จัดที่ดิน!AF87"")"),52)</f>
        <v>52</v>
      </c>
      <c r="K372" s="46">
        <f t="shared" ca="1" si="242"/>
        <v>185.71428571428572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IFERROR(__xludf.DUMMYFUNCTION("IMPORTRANGE(""https://docs.google.com/spreadsheets/d/1tdoBKaGub7dwA3U6UFTqxio9LNnvDCQjHKmttSEBsFQ/edit?usp=sharing"",""จัดที่ดิน!AG87"")"),379.99)</f>
        <v>379.99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I387+I389</f>
        <v>150</v>
      </c>
      <c r="J375" s="684">
        <f t="shared" ca="1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9375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9375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9375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IFERROR(__xludf.DUMMYFUNCTION("IMPORTRANGE(""https://docs.google.com/spreadsheets/d/1ItG2mGa2ceCfYo0BwxsXqNm01IGEUdYcSSLTEv9YCik/edit?usp=sharing"",""เบิกจ่ายกองทุน!AY87"")"),9375)</f>
        <v>9375</v>
      </c>
      <c r="R381" s="46">
        <f ca="1">IFERROR(__xludf.DUMMYFUNCTION("IMPORTRANGE(""https://docs.google.com/spreadsheets/d/1ItG2mGa2ceCfYo0BwxsXqNm01IGEUdYcSSLTEv9YCik/edit?usp=sharing"",""เบิกจ่ายกองทุน!AZ87"")"),0)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IFERROR(__xludf.DUMMYFUNCTION("IMPORTRANGE(""https://docs.google.com/spreadsheets/d/1ItG2mGa2ceCfYo0BwxsXqNm01IGEUdYcSSLTEv9YCik/edit?usp=sharing"",""เบิกจ่ายกองทุน!BA87"")"),0)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IFERROR(__xludf.DUMMYFUNCTION("IMPORTRANGE(""https://docs.google.com/spreadsheets/d/1w5rwWK1o49a35cNtocGL0gxDwhFSTZUQu90BiH9_zqM/edit?usp=sharing"",""RTK!H87"")"),0)</f>
        <v>0</v>
      </c>
      <c r="K386" s="46">
        <f t="shared" ref="K386:K389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IFERROR(__xludf.DUMMYFUNCTION("IMPORTRANGE(""https://docs.google.com/spreadsheets/d/1w5rwWK1o49a35cNtocGL0gxDwhFSTZUQu90BiH9_zqM/edit?usp=sharing"",""RTK!G87"")"),150)</f>
        <v>150</v>
      </c>
      <c r="J387" s="152">
        <f ca="1">IFERROR(__xludf.DUMMYFUNCTION("IMPORTRANGE(""https://docs.google.com/spreadsheets/d/1w5rwWK1o49a35cNtocGL0gxDwhFSTZUQu90BiH9_zqM/edit?usp=sharing"",""RTK!I87"")"),0)</f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IFERROR(__xludf.DUMMYFUNCTION("IMPORTRANGE(""https://docs.google.com/spreadsheets/d/1w5rwWK1o49a35cNtocGL0gxDwhFSTZUQu90BiH9_zqM/edit?usp=sharing"",""RTK!L87"")"),0)</f>
        <v>0</v>
      </c>
      <c r="K388" s="630">
        <f t="shared" si="256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IFERROR(__xludf.DUMMYFUNCTION("IMPORTRANGE(""https://docs.google.com/spreadsheets/d/1w5rwWK1o49a35cNtocGL0gxDwhFSTZUQu90BiH9_zqM/edit?usp=sharing"",""RTK!K87"")"),0)</f>
        <v>0</v>
      </c>
      <c r="J389" s="691">
        <f ca="1">IFERROR(__xludf.DUMMYFUNCTION("IMPORTRANGE(""https://docs.google.com/spreadsheets/d/1w5rwWK1o49a35cNtocGL0gxDwhFSTZUQu90BiH9_zqM/edit?usp=sharing"",""RTK!M87"")"),0)</f>
        <v>0</v>
      </c>
      <c r="K389" s="630">
        <f t="shared" ca="1" si="256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IFERROR(__xludf.DUMMYFUNCTION("IMPORTRANGE(""https://docs.google.com/spreadsheets/d/1ItG2mGa2ceCfYo0BwxsXqNm01IGEUdYcSSLTEv9YCik/edit?usp=sharing"",""เบิกจ่ายกองทุน!BH87"")"),0)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IFERROR(__xludf.DUMMYFUNCTION("IMPORTRANGE(""https://docs.google.com/spreadsheets/d/1ItG2mGa2ceCfYo0BwxsXqNm01IGEUdYcSSLTEv9YCik/edit?usp=sharing"",""เบิกจ่ายกองทุน!BI87"")"),0)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IFERROR(__xludf.DUMMYFUNCTION("IMPORTRANGE(""https://docs.google.com/spreadsheets/d/1ItG2mGa2ceCfYo0BwxsXqNm01IGEUdYcSSLTEv9YCik/edit?usp=sharing"",""เบิกจ่ายกองทุน!BJ87"")"),0)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IFERROR(__xludf.DUMMYFUNCTION("IMPORTRANGE(""https://docs.google.com/spreadsheets/d/1eHaY18a8A9IcSdp1K8H6x8fbOy06t2VsZHhMHf-1x7Y/edit?usp=sharing"",""แผน!HJ87"")"),0)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IFERROR(__xludf.DUMMYFUNCTION("IMPORTRANGE(""https://docs.google.com/spreadsheets/d/1eHaY18a8A9IcSdp1K8H6x8fbOy06t2VsZHhMHf-1x7Y/edit?usp=sharing"",""แผน!HK87"")"),0)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IFERROR(__xludf.DUMMYFUNCTION("IMPORTRANGE(""https://docs.google.com/spreadsheets/d/1eHaY18a8A9IcSdp1K8H6x8fbOy06t2VsZHhMHf-1x7Y/edit?usp=sharing"",""แผน!HJ87"")"),0)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IFERROR(__xludf.DUMMYFUNCTION("IMPORTRANGE(""https://docs.google.com/spreadsheets/d/1eHaY18a8A9IcSdp1K8H6x8fbOy06t2VsZHhMHf-1x7Y/edit?usp=sharing"",""แผน!HK87"")"),0)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IFERROR(__xludf.DUMMYFUNCTION("IMPORTRANGE(""https://docs.google.com/spreadsheets/d/1eHaY18a8A9IcSdp1K8H6x8fbOy06t2VsZHhMHf-1x7Y/edit?usp=sharing"",""แผน!HJ87"")"),0)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IFERROR(__xludf.DUMMYFUNCTION("IMPORTRANGE(""https://docs.google.com/spreadsheets/d/1eHaY18a8A9IcSdp1K8H6x8fbOy06t2VsZHhMHf-1x7Y/edit?usp=sharing"",""แผน!HK87"")"),0)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IFERROR(__xludf.DUMMYFUNCTION("IMPORTRANGE(""https://docs.google.com/spreadsheets/d/1eHaY18a8A9IcSdp1K8H6x8fbOy06t2VsZHhMHf-1x7Y/edit?usp=sharing"",""แผน!HL87"")"),0)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IFERROR(__xludf.DUMMYFUNCTION("IMPORTRANGE(""https://docs.google.com/spreadsheets/d/1eHaY18a8A9IcSdp1K8H6x8fbOy06t2VsZHhMHf-1x7Y/edit?usp=sharing"",""แผน!HM87"")"),0)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IFERROR(__xludf.DUMMYFUNCTION("IMPORTRANGE(""https://docs.google.com/spreadsheets/d/1eHaY18a8A9IcSdp1K8H6x8fbOy06t2VsZHhMHf-1x7Y/edit?usp=sharing"",""แผน!HN87"")"),0)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IFERROR(__xludf.DUMMYFUNCTION("IMPORTRANGE(""https://docs.google.com/spreadsheets/d/1eHaY18a8A9IcSdp1K8H6x8fbOy06t2VsZHhMHf-1x7Y/edit?usp=sharing"",""แผน!HO87"")"),0)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0</v>
      </c>
      <c r="R494" s="132">
        <f t="shared" ca="1" si="305"/>
        <v>0</v>
      </c>
      <c r="S494" s="132">
        <f t="shared" ca="1" si="305"/>
        <v>0</v>
      </c>
      <c r="T494" s="132">
        <f t="shared" ref="T494:T502" ca="1" si="306">IF(Q494&gt;0,S494*100/Q494,0)</f>
        <v>0</v>
      </c>
      <c r="U494" s="132">
        <f t="shared" ref="U494:U502" ca="1" si="307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0</v>
      </c>
      <c r="R496" s="46">
        <f t="shared" ca="1" si="309"/>
        <v>0</v>
      </c>
      <c r="S496" s="46">
        <f t="shared" ca="1" si="309"/>
        <v>0</v>
      </c>
      <c r="T496" s="46">
        <f t="shared" ca="1" si="306"/>
        <v>0</v>
      </c>
      <c r="U496" s="46">
        <f t="shared" ca="1" si="307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0</v>
      </c>
      <c r="R497" s="46">
        <f t="shared" ca="1" si="311"/>
        <v>0</v>
      </c>
      <c r="S497" s="46">
        <f t="shared" ca="1" si="311"/>
        <v>0</v>
      </c>
      <c r="T497" s="46">
        <f t="shared" ca="1" si="306"/>
        <v>0</v>
      </c>
      <c r="U497" s="46">
        <f t="shared" ca="1" si="307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IFERROR(__xludf.DUMMYFUNCTION("IMPORTRANGE(""https://docs.google.com/spreadsheets/d/1ItG2mGa2ceCfYo0BwxsXqNm01IGEUdYcSSLTEv9YCik/edit?usp=sharing"",""เบิกจ่ายกองทุน!X87"")"),0)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IFERROR(__xludf.DUMMYFUNCTION("IMPORTRANGE(""https://docs.google.com/spreadsheets/d/1ItG2mGa2ceCfYo0BwxsXqNm01IGEUdYcSSLTEv9YCik/edit?usp=sharing"",""เบิกจ่ายกองทุน!Y87"")"),0)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IFERROR(__xludf.DUMMYFUNCTION("IMPORTRANGE(""https://docs.google.com/spreadsheets/d/1ItG2mGa2ceCfYo0BwxsXqNm01IGEUdYcSSLTEv9YCik/edit?usp=sharing"",""เบิกจ่ายกองทุน!Z87"")"),0)</f>
        <v>0</v>
      </c>
      <c r="T499" s="46">
        <f t="shared" ca="1" si="306"/>
        <v>0</v>
      </c>
      <c r="U499" s="46">
        <f t="shared" ca="1" si="307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IFERROR(__xludf.DUMMYFUNCTION("IMPORTRANGE(""https://docs.google.com/spreadsheets/d/1eHaY18a8A9IcSdp1K8H6x8fbOy06t2VsZHhMHf-1x7Y/edit?usp=sharing"",""แผน!GX87"")"),0)</f>
        <v>0</v>
      </c>
      <c r="J504" s="147">
        <f ca="1">IF(AND(J505=I505,J506=I506,J507=I507,J508=I508),I504,0)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IFERROR(__xludf.DUMMYFUNCTION("IMPORTRANGE(""https://docs.google.com/spreadsheets/d/1eHaY18a8A9IcSdp1K8H6x8fbOy06t2VsZHhMHf-1x7Y/edit?usp=sharing"",""แผน!GY87"")"),0)</f>
        <v>0</v>
      </c>
      <c r="J505" s="168">
        <v>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IFERROR(__xludf.DUMMYFUNCTION("IMPORTRANGE(""https://docs.google.com/spreadsheets/d/1eHaY18a8A9IcSdp1K8H6x8fbOy06t2VsZHhMHf-1x7Y/edit?usp=sharing"",""แผน!GZ87"")"),0)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IFERROR(__xludf.DUMMYFUNCTION("IMPORTRANGE(""https://docs.google.com/spreadsheets/d/1eHaY18a8A9IcSdp1K8H6x8fbOy06t2VsZHhMHf-1x7Y/edit?usp=sharing"",""แผน!HA87"")"),0)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IFERROR(__xludf.DUMMYFUNCTION("IMPORTRANGE(""https://docs.google.com/spreadsheets/d/1eHaY18a8A9IcSdp1K8H6x8fbOy06t2VsZHhMHf-1x7Y/edit?usp=sharing"",""แผน!HB87"")"),0)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IFERROR(__xludf.DUMMYFUNCTION("IMPORTRANGE(""https://docs.google.com/spreadsheets/d/1eHaY18a8A9IcSdp1K8H6x8fbOy06t2VsZHhMHf-1x7Y/edit?usp=sharing"",""แผน!HC87"")"),0)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IFERROR(__xludf.DUMMYFUNCTION("IMPORTRANGE(""https://docs.google.com/spreadsheets/d/1-uDff_7J0KD5mKrp0Vvzr7lt3OU09vwQwhkpOPPYv2Y/edit?usp=sharing"",""งบพรบ!FM87"")"),0)</f>
        <v>0</v>
      </c>
      <c r="M519" s="46">
        <f ca="1">IFERROR(__xludf.DUMMYFUNCTION("IMPORTRANGE(""https://docs.google.com/spreadsheets/d/1-uDff_7J0KD5mKrp0Vvzr7lt3OU09vwQwhkpOPPYv2Y/edit?usp=sharing"",""งบพรบ!FR87"")"),0)</f>
        <v>0</v>
      </c>
      <c r="N519" s="46">
        <f ca="1">IFERROR(__xludf.DUMMYFUNCTION("IMPORTRANGE(""https://docs.google.com/spreadsheets/d/1-uDff_7J0KD5mKrp0Vvzr7lt3OU09vwQwhkpOPPYv2Y/edit?usp=sharing"",""งบพรบ!FT87"")"),0)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IFERROR(__xludf.DUMMYFUNCTION("IMPORTRANGE(""https://docs.google.com/spreadsheets/d/1-uDff_7J0KD5mKrp0Vvzr7lt3OU09vwQwhkpOPPYv2Y/edit?usp=sharing"",""งบพรบ!FP87"")"),0)</f>
        <v>0</v>
      </c>
      <c r="M522" s="46">
        <f ca="1">IFERROR(__xludf.DUMMYFUNCTION("IMPORTRANGE(""https://docs.google.com/spreadsheets/d/1-uDff_7J0KD5mKrp0Vvzr7lt3OU09vwQwhkpOPPYv2Y/edit?usp=sharing"",""งบพรบ!FS87"")"),0)</f>
        <v>0</v>
      </c>
      <c r="N522" s="46">
        <f ca="1">IFERROR(__xludf.DUMMYFUNCTION("IMPORTRANGE(""https://docs.google.com/spreadsheets/d/1-uDff_7J0KD5mKrp0Vvzr7lt3OU09vwQwhkpOPPYv2Y/edit?usp=sharing"",""งบพรบ!FU87"")"),0)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50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7275</v>
      </c>
      <c r="R617" s="132">
        <f t="shared" ca="1" si="384"/>
        <v>7275</v>
      </c>
      <c r="S617" s="132">
        <f t="shared" ca="1" si="384"/>
        <v>5850</v>
      </c>
      <c r="T617" s="132">
        <f t="shared" ref="T617:T625" ca="1" si="385">IF(Q617&gt;0,S617*100/Q617,0)</f>
        <v>80.412371134020617</v>
      </c>
      <c r="U617" s="132">
        <f t="shared" ref="U617:U625" ca="1" si="386">IF(R617&gt;0,S617*100/R617,0)</f>
        <v>80.412371134020617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7275</v>
      </c>
      <c r="R619" s="46">
        <f t="shared" ca="1" si="388"/>
        <v>7275</v>
      </c>
      <c r="S619" s="46">
        <f t="shared" ca="1" si="388"/>
        <v>5850</v>
      </c>
      <c r="T619" s="46">
        <f t="shared" ca="1" si="385"/>
        <v>80.412371134020617</v>
      </c>
      <c r="U619" s="46">
        <f t="shared" ca="1" si="386"/>
        <v>80.412371134020617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7275</v>
      </c>
      <c r="R620" s="46">
        <f t="shared" ca="1" si="390"/>
        <v>7275</v>
      </c>
      <c r="S620" s="46">
        <f t="shared" ca="1" si="390"/>
        <v>5850</v>
      </c>
      <c r="T620" s="46">
        <f t="shared" ca="1" si="385"/>
        <v>80.412371134020617</v>
      </c>
      <c r="U620" s="46">
        <f t="shared" ca="1" si="386"/>
        <v>80.412371134020617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IFERROR(__xludf.DUMMYFUNCTION("IMPORTRANGE(""https://docs.google.com/spreadsheets/d/1ItG2mGa2ceCfYo0BwxsXqNm01IGEUdYcSSLTEv9YCik/edit?usp=sharing"",""เบิกจ่ายกองทุน!F87"")"),7275)</f>
        <v>7275</v>
      </c>
      <c r="R622" s="46">
        <f ca="1">IFERROR(__xludf.DUMMYFUNCTION("IMPORTRANGE(""https://docs.google.com/spreadsheets/d/1ItG2mGa2ceCfYo0BwxsXqNm01IGEUdYcSSLTEv9YCik/edit?usp=sharing"",""เบิกจ่ายกองทุน!G87"")"),7275)</f>
        <v>7275</v>
      </c>
      <c r="S622" s="46">
        <f ca="1">IFERROR(__xludf.DUMMYFUNCTION("IMPORTRANGE(""https://docs.google.com/spreadsheets/d/1ItG2mGa2ceCfYo0BwxsXqNm01IGEUdYcSSLTEv9YCik/edit?usp=sharing"",""เบิกจ่ายกองทุน!H87"")"),5850)</f>
        <v>5850</v>
      </c>
      <c r="T622" s="46">
        <f t="shared" ca="1" si="385"/>
        <v>80.412371134020617</v>
      </c>
      <c r="U622" s="46">
        <f t="shared" ca="1" si="386"/>
        <v>80.412371134020617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IFERROR(__xludf.DUMMYFUNCTION("IMPORTRANGE(""https://docs.google.com/spreadsheets/d/1eHaY18a8A9IcSdp1K8H6x8fbOy06t2VsZHhMHf-1x7Y/edit?usp=sharing"",""แผน!ID87"")"),50)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8">
        <v>7</v>
      </c>
      <c r="K628" s="46">
        <f t="shared" ref="K628:K629" ca="1" si="393">IF(I628&gt;0,(J628*100)/I628,0)</f>
        <v>700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IFERROR(__xludf.DUMMYFUNCTION("IMPORTRANGE(""https://docs.google.com/spreadsheets/d/1eHaY18a8A9IcSdp1K8H6x8fbOy06t2VsZHhMHf-1x7Y/edit?usp=sharing"",""แผน!IC87"")"),1)</f>
        <v>1</v>
      </c>
      <c r="J629" s="168">
        <v>7</v>
      </c>
      <c r="K629" s="46">
        <f t="shared" ca="1" si="393"/>
        <v>700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IFERROR(__xludf.DUMMYFUNCTION("IMPORTRANGE(""https://docs.google.com/spreadsheets/d/1eHaY18a8A9IcSdp1K8H6x8fbOy06t2VsZHhMHf-1x7Y/edit?usp=sharing"",""แผน!IE87"")"),0)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IFERROR(__xludf.DUMMYFUNCTION("IMPORTRANGE(""https://docs.google.com/spreadsheets/d/1ItG2mGa2ceCfYo0BwxsXqNm01IGEUdYcSSLTEv9YCik/edit?usp=sharing"",""เบิกจ่ายกองทุน!I87"")"),0)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IFERROR(__xludf.DUMMYFUNCTION("IMPORTRANGE(""https://docs.google.com/spreadsheets/d/1ItG2mGa2ceCfYo0BwxsXqNm01IGEUdYcSSLTEv9YCik/edit?usp=sharing"",""เบิกจ่ายกองทุน!J87"")"),0)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IFERROR(__xludf.DUMMYFUNCTION("IMPORTRANGE(""https://docs.google.com/spreadsheets/d/1ItG2mGa2ceCfYo0BwxsXqNm01IGEUdYcSSLTEv9YCik/edit?usp=sharing"",""เบิกจ่ายกองทุน!K87"")"),0)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IFERROR(__xludf.DUMMYFUNCTION("IMPORTRANGE(""https://docs.google.com/spreadsheets/d/1eHaY18a8A9IcSdp1K8H6x8fbOy06t2VsZHhMHf-1x7Y/edit?usp=sharing"",""แผน!IF87"")"),0)</f>
        <v>0</v>
      </c>
      <c r="J653" s="152">
        <f ca="1">IFERROR(__xludf.DUMMYFUNCTION("IMPORTRANGE(""https://docs.google.com/spreadsheets/d/1tdoBKaGub7dwA3U6UFTqxio9LNnvDCQjHKmttSEBsFQ/edit?usp=sharing"",""จัดที่ดิน!AU87"")"),0)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IFERROR(__xludf.DUMMYFUNCTION("IMPORTRANGE(""https://docs.google.com/spreadsheets/d/1eHaY18a8A9IcSdp1K8H6x8fbOy06t2VsZHhMHf-1x7Y/edit?usp=sharing"",""แผน!IG87"")"),0)</f>
        <v>0</v>
      </c>
      <c r="J654" s="152">
        <f ca="1">IFERROR(__xludf.DUMMYFUNCTION("IMPORTRANGE(""https://docs.google.com/spreadsheets/d/1tdoBKaGub7dwA3U6UFTqxio9LNnvDCQjHKmttSEBsFQ/edit?usp=sharing"",""จัดที่ดิน!AW87"")"),0)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IFERROR(__xludf.DUMMYFUNCTION("IMPORTRANGE(""https://docs.google.com/spreadsheets/d/1eHaY18a8A9IcSdp1K8H6x8fbOy06t2VsZHhMHf-1x7Y/edit?usp=sharing"",""แผน!IH87"")"),0)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IFERROR(__xludf.DUMMYFUNCTION("IMPORTRANGE(""https://docs.google.com/spreadsheets/d/1eHaY18a8A9IcSdp1K8H6x8fbOy06t2VsZHhMHf-1x7Y/edit?usp=sharing"",""แผน!II87"")"),0)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IFERROR(__xludf.DUMMYFUNCTION("IMPORTRANGE(""https://docs.google.com/spreadsheets/d/1eHaY18a8A9IcSdp1K8H6x8fbOy06t2VsZHhMHf-1x7Y/edit?usp=sharing"",""แผน!IJ87"")"),0)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IFERROR(__xludf.DUMMYFUNCTION("IMPORTRANGE(""https://docs.google.com/spreadsheets/d/1eHaY18a8A9IcSdp1K8H6x8fbOy06t2VsZHhMHf-1x7Y/edit?usp=sharing"",""แผน!IK87"")"),0)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IFERROR(__xludf.DUMMYFUNCTION("IMPORTRANGE(""https://docs.google.com/spreadsheets/d/1tdoBKaGub7dwA3U6UFTqxio9LNnvDCQjHKmttSEBsFQ/edit?usp=sharing"",""จัดที่ดิน!AY87"")"),0)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IFERROR(__xludf.DUMMYFUNCTION("IMPORTRANGE(""https://docs.google.com/spreadsheets/d/1tdoBKaGub7dwA3U6UFTqxio9LNnvDCQjHKmttSEBsFQ/edit?usp=sharing"",""จัดที่ดิน!AZ87"")"),0)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IFERROR(__xludf.DUMMYFUNCTION("IMPORTRANGE(""https://docs.google.com/spreadsheets/d/1eHaY18a8A9IcSdp1K8H6x8fbOy06t2VsZHhMHf-1x7Y/edit?usp=sharing"",""แผน!IL87"")"),0)</f>
        <v>0</v>
      </c>
      <c r="J674" s="152">
        <f ca="1">IFERROR(__xludf.DUMMYFUNCTION("IMPORTRANGE(""https://docs.google.com/spreadsheets/d/1tdoBKaGub7dwA3U6UFTqxio9LNnvDCQjHKmttSEBsFQ/edit?usp=sharing"",""จัดที่ดิน!BA87"")"),0)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IFERROR(__xludf.DUMMYFUNCTION("IMPORTRANGE(""https://docs.google.com/spreadsheets/d/1eHaY18a8A9IcSdp1K8H6x8fbOy06t2VsZHhMHf-1x7Y/edit?usp=sharing"",""แผน!IM87"")"),0)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IFERROR(__xludf.DUMMYFUNCTION("IMPORTRANGE(""https://docs.google.com/spreadsheets/d/1eHaY18a8A9IcSdp1K8H6x8fbOy06t2VsZHhMHf-1x7Y/edit?usp=sharing"",""แผน!IN87"")"),0)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IFERROR(__xludf.DUMMYFUNCTION("IMPORTRANGE(""https://docs.google.com/spreadsheets/d/1eHaY18a8A9IcSdp1K8H6x8fbOy06t2VsZHhMHf-1x7Y/edit?usp=sharing"",""แผน!IO87"")"),0)</f>
        <v>0</v>
      </c>
      <c r="J677" s="152">
        <f ca="1">IFERROR(__xludf.DUMMYFUNCTION("IMPORTRANGE(""https://docs.google.com/spreadsheets/d/1tdoBKaGub7dwA3U6UFTqxio9LNnvDCQjHKmttSEBsFQ/edit?usp=sharing"",""จัดที่ดิน!BF87"")"),0)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IFERROR(__xludf.DUMMYFUNCTION("IMPORTRANGE(""https://docs.google.com/spreadsheets/d/1tdoBKaGub7dwA3U6UFTqxio9LNnvDCQjHKmttSEBsFQ/edit?usp=sharing"",""จัดที่ดิน!BG87"")"),0)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IFERROR(__xludf.DUMMYFUNCTION("IMPORTRANGE(""https://docs.google.com/spreadsheets/d/1eHaY18a8A9IcSdp1K8H6x8fbOy06t2VsZHhMHf-1x7Y/edit?usp=sharing"",""แผน!IP87"")"),0)</f>
        <v>0</v>
      </c>
      <c r="J679" s="152">
        <f ca="1">IFERROR(__xludf.DUMMYFUNCTION("IMPORTRANGE(""https://docs.google.com/spreadsheets/d/1tdoBKaGub7dwA3U6UFTqxio9LNnvDCQjHKmttSEBsFQ/edit?usp=sharing"",""จัดที่ดิน!BH87"")"),0)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IFERROR(__xludf.DUMMYFUNCTION("IMPORTRANGE(""https://docs.google.com/spreadsheets/d/1eHaY18a8A9IcSdp1K8H6x8fbOy06t2VsZHhMHf-1x7Y/edit?usp=sharing"",""แผน!IQ87"")"),0)</f>
        <v>0</v>
      </c>
      <c r="J680" s="152">
        <f ca="1">IFERROR(__xludf.DUMMYFUNCTION("IMPORTRANGE(""https://docs.google.com/spreadsheets/d/1tdoBKaGub7dwA3U6UFTqxio9LNnvDCQjHKmttSEBsFQ/edit?usp=sharing"",""จัดที่ดิน!BK87"")"),0)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IFERROR(__xludf.DUMMYFUNCTION("IMPORTRANGE(""https://docs.google.com/spreadsheets/d/1tdoBKaGub7dwA3U6UFTqxio9LNnvDCQjHKmttSEBsFQ/edit?usp=sharing"",""จัดที่ดิน!BL87"")"),0)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IFERROR(__xludf.DUMMYFUNCTION("IMPORTRANGE(""https://docs.google.com/spreadsheets/d/1eHaY18a8A9IcSdp1K8H6x8fbOy06t2VsZHhMHf-1x7Y/edit?usp=sharing"",""แผน!IR87"")"),0)</f>
        <v>0</v>
      </c>
      <c r="J682" s="152">
        <f ca="1">IFERROR(__xludf.DUMMYFUNCTION("IMPORTRANGE(""https://docs.google.com/spreadsheets/d/1tdoBKaGub7dwA3U6UFTqxio9LNnvDCQjHKmttSEBsFQ/edit?usp=sharing"",""จัดที่ดิน!BM87"")"),0)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IFERROR(__xludf.DUMMYFUNCTION("IMPORTRANGE(""https://docs.google.com/spreadsheets/d/1eHaY18a8A9IcSdp1K8H6x8fbOy06t2VsZHhMHf-1x7Y/edit?usp=sharing"",""แผน!IS87"")"),0)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62580</v>
      </c>
      <c r="R691" s="132">
        <f t="shared" ca="1" si="415"/>
        <v>62580</v>
      </c>
      <c r="S691" s="132">
        <f t="shared" ca="1" si="415"/>
        <v>17267.95</v>
      </c>
      <c r="T691" s="132">
        <f t="shared" ref="T691:T699" ca="1" si="416">IF(Q691&gt;0,S691*100/Q691,0)</f>
        <v>27.593400447427292</v>
      </c>
      <c r="U691" s="132">
        <f t="shared" ref="U691:U699" ca="1" si="417">IF(R691&gt;0,S691*100/R691,0)</f>
        <v>27.593400447427292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62580</v>
      </c>
      <c r="R693" s="46">
        <f t="shared" ca="1" si="419"/>
        <v>62580</v>
      </c>
      <c r="S693" s="46">
        <f t="shared" ca="1" si="419"/>
        <v>17267.95</v>
      </c>
      <c r="T693" s="46">
        <f t="shared" ca="1" si="416"/>
        <v>27.593400447427292</v>
      </c>
      <c r="U693" s="46">
        <f t="shared" ca="1" si="417"/>
        <v>27.593400447427292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62580</v>
      </c>
      <c r="R694" s="46">
        <f t="shared" ca="1" si="421"/>
        <v>62580</v>
      </c>
      <c r="S694" s="46">
        <f t="shared" ca="1" si="421"/>
        <v>17267.95</v>
      </c>
      <c r="T694" s="46">
        <f t="shared" ca="1" si="416"/>
        <v>27.593400447427292</v>
      </c>
      <c r="U694" s="46">
        <f t="shared" ca="1" si="417"/>
        <v>27.593400447427292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6" s="46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6" s="46">
        <f ca="1">IFERROR(__xludf.DUMMYFUNCTION("IMPORTRANGE(""https://docs.google.com/spreadsheets/d/1ItG2mGa2ceCfYo0BwxsXqNm01IGEUdYcSSLTEv9YCik/edit?usp=sharing"",""เบิกจ่ายกองทุน!N87"")"),17267.95)</f>
        <v>17267.95</v>
      </c>
      <c r="T696" s="46">
        <f t="shared" ca="1" si="416"/>
        <v>27.593400447427292</v>
      </c>
      <c r="U696" s="46">
        <f t="shared" ca="1" si="417"/>
        <v>27.593400447427292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IFERROR(__xludf.DUMMYFUNCTION("IMPORTRANGE(""https://docs.google.com/spreadsheets/d/1eHaY18a8A9IcSdp1K8H6x8fbOy06t2VsZHhMHf-1x7Y/edit?usp=sharing"",""แผน!LC87"")"),0)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5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IFERROR(__xludf.DUMMYFUNCTION("IMPORTRANGE(""https://docs.google.com/spreadsheets/d/1eHaY18a8A9IcSdp1K8H6x8fbOy06t2VsZHhMHf-1x7Y/edit?usp=sharing"",""แผน!LJ87"")"),0)</f>
        <v>0</v>
      </c>
      <c r="J704" s="152">
        <f ca="1">IFERROR(__xludf.DUMMYFUNCTION("IMPORTRANGE(""https://docs.google.com/spreadsheets/d/1tdoBKaGub7dwA3U6UFTqxio9LNnvDCQjHKmttSEBsFQ/edit?usp=sharing"",""จัดที่ดิน!AP87"")"),0)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IFERROR(__xludf.DUMMYFUNCTION("IMPORTRANGE(""https://docs.google.com/spreadsheets/d/1tdoBKaGub7dwA3U6UFTqxio9LNnvDCQjHKmttSEBsFQ/edit?usp=sharing"",""จัดที่ดิน!AQ87"")"),0)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IFERROR(__xludf.DUMMYFUNCTION("IMPORTRANGE(""https://docs.google.com/spreadsheets/d/1eHaY18a8A9IcSdp1K8H6x8fbOy06t2VsZHhMHf-1x7Y/edit?usp=sharing"",""แผน!LK87"")"),5)</f>
        <v>5</v>
      </c>
      <c r="J706" s="152">
        <f ca="1">IFERROR(__xludf.DUMMYFUNCTION("IMPORTRANGE(""https://docs.google.com/spreadsheets/d/1tdoBKaGub7dwA3U6UFTqxio9LNnvDCQjHKmttSEBsFQ/edit?usp=sharing"",""จัดที่ดิน!AR87"")"),0)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IFERROR(__xludf.DUMMYFUNCTION("IMPORTRANGE(""https://docs.google.com/spreadsheets/d/1tdoBKaGub7dwA3U6UFTqxio9LNnvDCQjHKmttSEBsFQ/edit?usp=sharing"",""จัดที่ดิน!AS87"")"),0)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IFERROR(__xludf.DUMMYFUNCTION("IMPORTRANGE(""https://docs.google.com/spreadsheets/d/1eHaY18a8A9IcSdp1K8H6x8fbOy06t2VsZHhMHf-1x7Y/edit?usp=sharing"",""แผน!LJ87"")"),0)</f>
        <v>0</v>
      </c>
      <c r="J708" s="152">
        <f ca="1">IFERROR(__xludf.DUMMYFUNCTION("IMPORTRANGE(""https://docs.google.com/spreadsheets/d/1tdoBKaGub7dwA3U6UFTqxio9LNnvDCQjHKmttSEBsFQ/edit?usp=sharing"",""จัดที่ดิน!BN87"")"),0)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IFERROR(__xludf.DUMMYFUNCTION("IMPORTRANGE(""https://docs.google.com/spreadsheets/d/1tdoBKaGub7dwA3U6UFTqxio9LNnvDCQjHKmttSEBsFQ/edit?usp=sharing"",""จัดที่ดิน!BO87"")"),0)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IFERROR(__xludf.DUMMYFUNCTION("IMPORTRANGE(""https://docs.google.com/spreadsheets/d/1eHaY18a8A9IcSdp1K8H6x8fbOy06t2VsZHhMHf-1x7Y/edit?usp=sharing"",""แผน!LK87"")"),5)</f>
        <v>5</v>
      </c>
      <c r="J710" s="152">
        <f ca="1">IFERROR(__xludf.DUMMYFUNCTION("IMPORTRANGE(""https://docs.google.com/spreadsheets/d/1tdoBKaGub7dwA3U6UFTqxio9LNnvDCQjHKmttSEBsFQ/edit?usp=sharing"",""จัดที่ดิน!BP87"")"),0)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IFERROR(__xludf.DUMMYFUNCTION("IMPORTRANGE(""https://docs.google.com/spreadsheets/d/1tdoBKaGub7dwA3U6UFTqxio9LNnvDCQjHKmttSEBsFQ/edit?usp=sharing"",""จัดที่ดิน!BQ87"")"),0)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IFERROR(__xludf.DUMMYFUNCTION("IMPORTRANGE(""https://docs.google.com/spreadsheets/d/1eHaY18a8A9IcSdp1K8H6x8fbOy06t2VsZHhMHf-1x7Y/edit?usp=sharing"",""แผน!GA87"")"),6)</f>
        <v>6</v>
      </c>
      <c r="J727" s="448">
        <f>J743+J747+J750</f>
        <v>16</v>
      </c>
      <c r="K727" s="449">
        <f t="shared" ref="K727:K728" ca="1" si="438">IF(I727&gt;0,J727*100/I727,0)</f>
        <v>266.66666666666669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IFERROR(__xludf.DUMMYFUNCTION("IMPORTRANGE(""https://docs.google.com/spreadsheets/d/1eHaY18a8A9IcSdp1K8H6x8fbOy06t2VsZHhMHf-1x7Y/edit?usp=sharing"",""แผน!FZ87"")"),50)</f>
        <v>50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79606</v>
      </c>
      <c r="R729" s="132">
        <f t="shared" ca="1" si="442"/>
        <v>79606</v>
      </c>
      <c r="S729" s="132">
        <f t="shared" ca="1" si="442"/>
        <v>39336.6</v>
      </c>
      <c r="T729" s="132">
        <f t="shared" ref="T729:T737" ca="1" si="443">IF(Q729&gt;0,S729*100/Q729,0)</f>
        <v>49.41411451398136</v>
      </c>
      <c r="U729" s="132">
        <f t="shared" ref="U729:U737" ca="1" si="444">IF(R729&gt;0,S729*100/R729,0)</f>
        <v>49.41411451398136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79606</v>
      </c>
      <c r="R731" s="46">
        <f t="shared" ca="1" si="446"/>
        <v>79606</v>
      </c>
      <c r="S731" s="46">
        <f t="shared" ca="1" si="446"/>
        <v>39336.6</v>
      </c>
      <c r="T731" s="46">
        <f t="shared" ca="1" si="443"/>
        <v>49.41411451398136</v>
      </c>
      <c r="U731" s="46">
        <f t="shared" ca="1" si="444"/>
        <v>49.41411451398136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79606</v>
      </c>
      <c r="R732" s="46">
        <f t="shared" ca="1" si="448"/>
        <v>79606</v>
      </c>
      <c r="S732" s="46">
        <f t="shared" ca="1" si="448"/>
        <v>39336.6</v>
      </c>
      <c r="T732" s="46">
        <f t="shared" ca="1" si="443"/>
        <v>49.41411451398136</v>
      </c>
      <c r="U732" s="46">
        <f t="shared" ca="1" si="444"/>
        <v>49.41411451398136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4" s="46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4" s="46">
        <f ca="1">IFERROR(__xludf.DUMMYFUNCTION("IMPORTRANGE(""https://docs.google.com/spreadsheets/d/1ItG2mGa2ceCfYo0BwxsXqNm01IGEUdYcSSLTEv9YCik/edit?usp=sharing"",""เบิกจ่ายกองทุน!Q87"")"),39336.6)</f>
        <v>39336.6</v>
      </c>
      <c r="T734" s="46">
        <f t="shared" ca="1" si="443"/>
        <v>49.41411451398136</v>
      </c>
      <c r="U734" s="46">
        <f t="shared" ca="1" si="444"/>
        <v>49.41411451398136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36" t="s">
        <v>271</v>
      </c>
      <c r="G741" s="143"/>
      <c r="H741" s="133" t="s">
        <v>46</v>
      </c>
      <c r="I741" s="152">
        <f ca="1">IFERROR(__xludf.DUMMYFUNCTION("IMPORTRANGE(""https://docs.google.com/spreadsheets/d/1eHaY18a8A9IcSdp1K8H6x8fbOy06t2VsZHhMHf-1x7Y/edit?usp=sharing"",""แผน!GB87"")"),40)</f>
        <v>40</v>
      </c>
      <c r="J741" s="168">
        <v>40</v>
      </c>
      <c r="K741" s="46">
        <f ca="1">IF(I741&gt;0,J741*100/I741,0)</f>
        <v>100</v>
      </c>
      <c r="L741" s="522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36" t="s">
        <v>272</v>
      </c>
      <c r="G742" s="143"/>
      <c r="H742" s="133" t="s">
        <v>35</v>
      </c>
      <c r="I742" s="44"/>
      <c r="J742" s="168">
        <v>0</v>
      </c>
      <c r="K742" s="45"/>
      <c r="L742" s="522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139"/>
      <c r="F743" s="436" t="s">
        <v>273</v>
      </c>
      <c r="G743" s="143"/>
      <c r="H743" s="133" t="s">
        <v>35</v>
      </c>
      <c r="I743" s="152">
        <f ca="1">IFERROR(__xludf.DUMMYFUNCTION("IMPORTRANGE(""https://docs.google.com/spreadsheets/d/1eHaY18a8A9IcSdp1K8H6x8fbOy06t2VsZHhMHf-1x7Y/edit?usp=sharing"",""แผน!GC87"")"),4)</f>
        <v>4</v>
      </c>
      <c r="J743" s="168">
        <v>5</v>
      </c>
      <c r="K743" s="46">
        <f ca="1">IF(I743&gt;0,J743*100/I743,0)</f>
        <v>125</v>
      </c>
      <c r="L743" s="522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436" t="s">
        <v>274</v>
      </c>
      <c r="F744" s="139"/>
      <c r="G744" s="143"/>
      <c r="H744" s="193"/>
      <c r="I744" s="44"/>
      <c r="J744" s="44"/>
      <c r="K744" s="45"/>
      <c r="L744" s="522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36" t="s">
        <v>271</v>
      </c>
      <c r="G745" s="143"/>
      <c r="H745" s="133" t="s">
        <v>46</v>
      </c>
      <c r="I745" s="152">
        <f ca="1">IFERROR(__xludf.DUMMYFUNCTION("IMPORTRANGE(""https://docs.google.com/spreadsheets/d/1eHaY18a8A9IcSdp1K8H6x8fbOy06t2VsZHhMHf-1x7Y/edit?usp=sharing"",""แผน!GD87"")"),10)</f>
        <v>10</v>
      </c>
      <c r="J745" s="168">
        <v>0</v>
      </c>
      <c r="K745" s="46">
        <f ca="1">IF(I745&gt;0,J745*100/I745,0)</f>
        <v>0</v>
      </c>
      <c r="L745" s="522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36" t="s">
        <v>275</v>
      </c>
      <c r="G746" s="143"/>
      <c r="H746" s="133" t="s">
        <v>35</v>
      </c>
      <c r="I746" s="44"/>
      <c r="J746" s="168">
        <v>0</v>
      </c>
      <c r="K746" s="45"/>
      <c r="L746" s="522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139"/>
      <c r="F747" s="436" t="s">
        <v>276</v>
      </c>
      <c r="G747" s="143"/>
      <c r="H747" s="133" t="s">
        <v>35</v>
      </c>
      <c r="I747" s="152">
        <f ca="1">IFERROR(__xludf.DUMMYFUNCTION("IMPORTRANGE(""https://docs.google.com/spreadsheets/d/1eHaY18a8A9IcSdp1K8H6x8fbOy06t2VsZHhMHf-1x7Y/edit?usp=sharing"",""แผน!GE87"")"),1)</f>
        <v>1</v>
      </c>
      <c r="J747" s="168">
        <v>2</v>
      </c>
      <c r="K747" s="46">
        <f ca="1">IF(I747&gt;0,J747*100/I747,0)</f>
        <v>200</v>
      </c>
      <c r="L747" s="522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436" t="s">
        <v>277</v>
      </c>
      <c r="F748" s="169"/>
      <c r="G748" s="143"/>
      <c r="H748" s="193"/>
      <c r="I748" s="44"/>
      <c r="J748" s="44"/>
      <c r="K748" s="45"/>
      <c r="L748" s="522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36" t="s">
        <v>278</v>
      </c>
      <c r="G749" s="143"/>
      <c r="H749" s="133" t="s">
        <v>35</v>
      </c>
      <c r="I749" s="44"/>
      <c r="J749" s="168">
        <v>0</v>
      </c>
      <c r="K749" s="45"/>
      <c r="L749" s="522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8.75" x14ac:dyDescent="0.25">
      <c r="A750" s="138"/>
      <c r="B750" s="139"/>
      <c r="C750" s="139"/>
      <c r="D750" s="139"/>
      <c r="E750" s="139"/>
      <c r="F750" s="436" t="s">
        <v>279</v>
      </c>
      <c r="G750" s="143"/>
      <c r="H750" s="133" t="s">
        <v>35</v>
      </c>
      <c r="I750" s="152">
        <f ca="1">IFERROR(__xludf.DUMMYFUNCTION("IMPORTRANGE(""https://docs.google.com/spreadsheets/d/1eHaY18a8A9IcSdp1K8H6x8fbOy06t2VsZHhMHf-1x7Y/edit?usp=sharing"",""แผน!GF87"")"),1)</f>
        <v>1</v>
      </c>
      <c r="J750" s="168">
        <v>9</v>
      </c>
      <c r="K750" s="46">
        <f ca="1">IF(I750&gt;0,J750*100/I750,0)</f>
        <v>900</v>
      </c>
      <c r="L750" s="522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9.5" x14ac:dyDescent="0.3">
      <c r="A751" s="138"/>
      <c r="B751" s="139"/>
      <c r="C751" s="139"/>
      <c r="D751" s="461" t="s">
        <v>50</v>
      </c>
      <c r="E751" s="139"/>
      <c r="F751" s="169"/>
      <c r="G751" s="143"/>
      <c r="H751" s="193"/>
      <c r="I751" s="44"/>
      <c r="J751" s="44"/>
      <c r="K751" s="45"/>
      <c r="L751" s="522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436" t="s">
        <v>270</v>
      </c>
      <c r="F752" s="169"/>
      <c r="G752" s="143"/>
      <c r="H752" s="193"/>
      <c r="I752" s="44"/>
      <c r="J752" s="44"/>
      <c r="K752" s="45"/>
      <c r="L752" s="522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67" t="s">
        <v>280</v>
      </c>
      <c r="G753" s="143"/>
      <c r="H753" s="133" t="s">
        <v>46</v>
      </c>
      <c r="I753" s="152">
        <f ca="1">IFERROR(__xludf.DUMMYFUNCTION("IMPORTRANGE(""https://docs.google.com/spreadsheets/d/1eHaY18a8A9IcSdp1K8H6x8fbOy06t2VsZHhMHf-1x7Y/edit?usp=sharing"",""แผน!GB87"")"),40)</f>
        <v>40</v>
      </c>
      <c r="J753" s="168">
        <v>0</v>
      </c>
      <c r="K753" s="46">
        <f ca="1">IF(I753&gt;0,J753*100/I753,0)</f>
        <v>0</v>
      </c>
      <c r="L753" s="522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139"/>
      <c r="F754" s="167" t="s">
        <v>281</v>
      </c>
      <c r="G754" s="143"/>
      <c r="H754" s="133" t="s">
        <v>46</v>
      </c>
      <c r="I754" s="44"/>
      <c r="J754" s="168">
        <v>0</v>
      </c>
      <c r="K754" s="45"/>
      <c r="L754" s="522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436" t="s">
        <v>274</v>
      </c>
      <c r="F755" s="169"/>
      <c r="G755" s="143"/>
      <c r="H755" s="193"/>
      <c r="I755" s="44"/>
      <c r="J755" s="44"/>
      <c r="K755" s="45"/>
      <c r="L755" s="522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69"/>
      <c r="F756" s="167" t="s">
        <v>282</v>
      </c>
      <c r="G756" s="143"/>
      <c r="H756" s="133" t="s">
        <v>46</v>
      </c>
      <c r="I756" s="152">
        <f ca="1">IFERROR(__xludf.DUMMYFUNCTION("IMPORTRANGE(""https://docs.google.com/spreadsheets/d/1eHaY18a8A9IcSdp1K8H6x8fbOy06t2VsZHhMHf-1x7Y/edit?usp=sharing"",""แผน!GD87"")"),10)</f>
        <v>10</v>
      </c>
      <c r="J756" s="168">
        <v>0</v>
      </c>
      <c r="K756" s="46">
        <f ca="1">IF(I756&gt;0,J756*100/I756,0)</f>
        <v>0</v>
      </c>
      <c r="L756" s="522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138"/>
      <c r="B757" s="139"/>
      <c r="C757" s="139"/>
      <c r="D757" s="139"/>
      <c r="E757" s="169"/>
      <c r="F757" s="167" t="s">
        <v>283</v>
      </c>
      <c r="G757" s="143"/>
      <c r="H757" s="133" t="s">
        <v>46</v>
      </c>
      <c r="I757" s="44"/>
      <c r="J757" s="168">
        <v>0</v>
      </c>
      <c r="K757" s="45"/>
      <c r="L757" s="522"/>
      <c r="M757" s="45"/>
      <c r="N757" s="45"/>
      <c r="O757" s="45"/>
      <c r="P757" s="45"/>
      <c r="Q757" s="45"/>
      <c r="R757" s="45"/>
      <c r="S757" s="45"/>
      <c r="T757" s="45"/>
      <c r="U757" s="45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hidden="1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hidden="1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hidden="1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0</v>
      </c>
      <c r="R761" s="132">
        <f t="shared" ca="1" si="457"/>
        <v>0</v>
      </c>
      <c r="S761" s="132">
        <f t="shared" ca="1" si="457"/>
        <v>0</v>
      </c>
      <c r="T761" s="132">
        <f t="shared" ref="T761:T769" ca="1" si="458">IF(Q761&gt;0,S761*100/Q761,0)</f>
        <v>0</v>
      </c>
      <c r="U761" s="132">
        <f t="shared" ref="U761:U769" ca="1" si="459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0</v>
      </c>
      <c r="R763" s="46">
        <f t="shared" ca="1" si="461"/>
        <v>0</v>
      </c>
      <c r="S763" s="46">
        <f t="shared" ca="1" si="461"/>
        <v>0</v>
      </c>
      <c r="T763" s="46">
        <f t="shared" ca="1" si="458"/>
        <v>0</v>
      </c>
      <c r="U763" s="46">
        <f t="shared" ca="1" si="459"/>
        <v>0</v>
      </c>
    </row>
    <row r="764" spans="1:21" ht="18.75" hidden="1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0</v>
      </c>
      <c r="R764" s="46">
        <f t="shared" ca="1" si="463"/>
        <v>0</v>
      </c>
      <c r="S764" s="46">
        <f t="shared" ca="1" si="463"/>
        <v>0</v>
      </c>
      <c r="T764" s="46">
        <f t="shared" ca="1" si="458"/>
        <v>0</v>
      </c>
      <c r="U764" s="46">
        <f t="shared" ca="1" si="459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IFERROR(__xludf.DUMMYFUNCTION("IMPORTRANGE(""https://docs.google.com/spreadsheets/d/1ItG2mGa2ceCfYo0BwxsXqNm01IGEUdYcSSLTEv9YCik/edit?usp=sharing"",""เบิกจ่ายกองทุน!U87"")"),0)</f>
        <v>0</v>
      </c>
      <c r="R766" s="46">
        <f ca="1">IFERROR(__xludf.DUMMYFUNCTION("IMPORTRANGE(""https://docs.google.com/spreadsheets/d/1ItG2mGa2ceCfYo0BwxsXqNm01IGEUdYcSSLTEv9YCik/edit?usp=sharing"",""เบิกจ่ายกองทุน!V87"")"),0)</f>
        <v>0</v>
      </c>
      <c r="S766" s="46">
        <f ca="1">IFERROR(__xludf.DUMMYFUNCTION("IMPORTRANGE(""https://docs.google.com/spreadsheets/d/1ItG2mGa2ceCfYo0BwxsXqNm01IGEUdYcSSLTEv9YCik/edit?usp=sharing"",""เบิกจ่ายกองทุน!W87"")"),0)</f>
        <v>0</v>
      </c>
      <c r="T766" s="46">
        <f t="shared" ca="1" si="458"/>
        <v>0</v>
      </c>
      <c r="U766" s="46">
        <f t="shared" ca="1" si="459"/>
        <v>0</v>
      </c>
    </row>
    <row r="767" spans="1:21" ht="18.75" hidden="1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hidden="1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IFERROR(__xludf.DUMMYFUNCTION("IMPORTRANGE(""https://docs.google.com/spreadsheets/d/1eHaY18a8A9IcSdp1K8H6x8fbOy06t2VsZHhMHf-1x7Y/edit?usp=sharing"",""แผน!FI87"")"),0)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IFERROR(__xludf.DUMMYFUNCTION("IMPORTRANGE(""https://docs.google.com/spreadsheets/d/1eHaY18a8A9IcSdp1K8H6x8fbOy06t2VsZHhMHf-1x7Y/edit?usp=sharing"",""แผน!FQ87"")"),0)</f>
        <v>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IFERROR(__xludf.DUMMYFUNCTION("IMPORTRANGE(""https://docs.google.com/spreadsheets/d/1eHaY18a8A9IcSdp1K8H6x8fbOy06t2VsZHhMHf-1x7Y/edit?usp=sharing"",""แผน!FR87"")"),0)</f>
        <v>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IFERROR(__xludf.DUMMYFUNCTION("IMPORTRANGE(""https://docs.google.com/spreadsheets/d/1eHaY18a8A9IcSdp1K8H6x8fbOy06t2VsZHhMHf-1x7Y/edit?usp=sharing"",""แผน!FS87"")"),0)</f>
        <v>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hidden="1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IFERROR(__xludf.DUMMYFUNCTION("IMPORTRANGE(""https://docs.google.com/spreadsheets/d/1eHaY18a8A9IcSdp1K8H6x8fbOy06t2VsZHhMHf-1x7Y/edit?usp=sharing"",""แผน!FT87"")"),0)</f>
        <v>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9" s="152">
        <f ca="1">IFERROR(__xludf.DUMMYFUNCTION("IMPORTRANGE(""https://docs.google.com/spreadsheets/d/10OvvATaaLtwErnr3qtWFcTmtbfpFEt5Bsqel9sXx0uE/edit?usp=sharing"",""งานกองทุน!F87"")"),281324.93)</f>
        <v>281324.93</v>
      </c>
      <c r="K779" s="46">
        <f t="shared" ref="K779:K786" ca="1" si="466">IF(I779&gt;0,J779*100/I779,0)</f>
        <v>48.416333311115075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IFERROR(__xludf.DUMMYFUNCTION("IMPORTRANGE(""https://docs.google.com/spreadsheets/d/10OvvATaaLtwErnr3qtWFcTmtbfpFEt5Bsqel9sXx0uE/edit?usp=sharing"",""งานกองทุน!C87"")"),57)</f>
        <v>57</v>
      </c>
      <c r="J780" s="152">
        <f ca="1">IFERROR(__xludf.DUMMYFUNCTION("IMPORTRANGE(""https://docs.google.com/spreadsheets/d/10OvvATaaLtwErnr3qtWFcTmtbfpFEt5Bsqel9sXx0uE/edit?usp=sharing"",""งานกองทุน!E87"")"),25)</f>
        <v>25</v>
      </c>
      <c r="K780" s="46">
        <f t="shared" ca="1" si="466"/>
        <v>43.859649122807021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IFERROR(__xludf.DUMMYFUNCTION("IMPORTRANGE(""https://docs.google.com/spreadsheets/d/10OvvATaaLtwErnr3qtWFcTmtbfpFEt5Bsqel9sXx0uE/edit?usp=sharing"",""งานกองทุน!I87"")"),7000)</f>
        <v>7000</v>
      </c>
      <c r="J781" s="152">
        <f ca="1">IFERROR(__xludf.DUMMYFUNCTION("IMPORTRANGE(""https://docs.google.com/spreadsheets/d/10OvvATaaLtwErnr3qtWFcTmtbfpFEt5Bsqel9sXx0uE/edit?usp=sharing"",""งานกองทุน!K87"")"),632)</f>
        <v>632</v>
      </c>
      <c r="K781" s="46">
        <f t="shared" ca="1" si="466"/>
        <v>9.0285714285714285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IFERROR(__xludf.DUMMYFUNCTION("IMPORTRANGE(""https://docs.google.com/spreadsheets/d/10OvvATaaLtwErnr3qtWFcTmtbfpFEt5Bsqel9sXx0uE/edit?usp=sharing"",""งานกองทุน!H87"")"),1)</f>
        <v>1</v>
      </c>
      <c r="J782" s="152">
        <f ca="1">IFERROR(__xludf.DUMMYFUNCTION("IMPORTRANGE(""https://docs.google.com/spreadsheets/d/10OvvATaaLtwErnr3qtWFcTmtbfpFEt5Bsqel9sXx0uE/edit?usp=sharing"",""งานกองทุน!J87"")"),1)</f>
        <v>1</v>
      </c>
      <c r="K782" s="46">
        <f t="shared" ca="1" si="466"/>
        <v>100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IFERROR(__xludf.DUMMYFUNCTION("IMPORTRANGE(""https://docs.google.com/spreadsheets/d/10OvvATaaLtwErnr3qtWFcTmtbfpFEt5Bsqel9sXx0uE/edit?usp=sharing"",""งานกองทุน!N87"")"),0)</f>
        <v>0</v>
      </c>
      <c r="J783" s="152">
        <f ca="1">IFERROR(__xludf.DUMMYFUNCTION("IMPORTRANGE(""https://docs.google.com/spreadsheets/d/10OvvATaaLtwErnr3qtWFcTmtbfpFEt5Bsqel9sXx0uE/edit?usp=sharing"",""งานกองทุน!P87"")"),0)</f>
        <v>0</v>
      </c>
      <c r="K783" s="46">
        <f t="shared" ca="1" si="466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IFERROR(__xludf.DUMMYFUNCTION("IMPORTRANGE(""https://docs.google.com/spreadsheets/d/10OvvATaaLtwErnr3qtWFcTmtbfpFEt5Bsqel9sXx0uE/edit?usp=sharing"",""งานกองทุน!M87"")"),0)</f>
        <v>0</v>
      </c>
      <c r="J784" s="152">
        <f ca="1">IFERROR(__xludf.DUMMYFUNCTION("IMPORTRANGE(""https://docs.google.com/spreadsheets/d/10OvvATaaLtwErnr3qtWFcTmtbfpFEt5Bsqel9sXx0uE/edit?usp=sharing"",""งานกองทุน!O87"")"),0)</f>
        <v>0</v>
      </c>
      <c r="K784" s="46">
        <f t="shared" ca="1" si="466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IFERROR(__xludf.DUMMYFUNCTION("IMPORTRANGE(""https://docs.google.com/spreadsheets/d/10OvvATaaLtwErnr3qtWFcTmtbfpFEt5Bsqel9sXx0uE/edit?usp=sharing"",""งานกองทุน!S87"")"),924000)</f>
        <v>924000</v>
      </c>
      <c r="J785" s="152">
        <f ca="1">IFERROR(__xludf.DUMMYFUNCTION("IMPORTRANGE(""https://docs.google.com/spreadsheets/d/10OvvATaaLtwErnr3qtWFcTmtbfpFEt5Bsqel9sXx0uE/edit?usp=sharing"",""งานกองทุน!U87"")"),120000)</f>
        <v>120000</v>
      </c>
      <c r="K785" s="46">
        <f t="shared" ca="1" si="466"/>
        <v>12.987012987012987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IFERROR(__xludf.DUMMYFUNCTION("IMPORTRANGE(""https://docs.google.com/spreadsheets/d/10OvvATaaLtwErnr3qtWFcTmtbfpFEt5Bsqel9sXx0uE/edit?usp=sharing"",""งานกองทุน!R87"")"),33)</f>
        <v>33</v>
      </c>
      <c r="J786" s="204">
        <f ca="1">IFERROR(__xludf.DUMMYFUNCTION("IMPORTRANGE(""https://docs.google.com/spreadsheets/d/10OvvATaaLtwErnr3qtWFcTmtbfpFEt5Bsqel9sXx0uE/edit?usp=sharing"",""งานกองทุน!T87"")"),4)</f>
        <v>4</v>
      </c>
      <c r="K786" s="110">
        <f t="shared" ca="1" si="466"/>
        <v>12.121212121212121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2" fitToHeight="0" orientation="portrait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CBC6-4097-4B96-83CF-9F8C6CAFEF93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6" width="12.5703125" bestFit="1" customWidth="1"/>
    <col min="17" max="18" width="21.28515625" bestFit="1" customWidth="1"/>
    <col min="19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326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2551398</v>
      </c>
      <c r="M19" s="34">
        <f t="shared" ca="1" si="0"/>
        <v>2572554</v>
      </c>
      <c r="N19" s="34">
        <f t="shared" ca="1" si="0"/>
        <v>1982363.58</v>
      </c>
      <c r="O19" s="34">
        <f t="shared" ref="O19:O27" ca="1" si="1">IF(L19&gt;0,N19*100/L19,0)</f>
        <v>77.697151914362237</v>
      </c>
      <c r="P19" s="34">
        <f t="shared" ref="P19:P27" ca="1" si="2">IF(M19&gt;0,N19*100/M19,0)</f>
        <v>77.058191198318866</v>
      </c>
      <c r="Q19" s="34">
        <f t="shared" ref="Q19:S19" ca="1" si="3">Q20+Q21</f>
        <v>2732499.24</v>
      </c>
      <c r="R19" s="34">
        <f t="shared" ca="1" si="3"/>
        <v>2669999</v>
      </c>
      <c r="S19" s="34">
        <f t="shared" ca="1" si="3"/>
        <v>361210</v>
      </c>
      <c r="T19" s="34">
        <f t="shared" ref="T19:T27" ca="1" si="4">IF(Q19&gt;0,S19*100/Q19,0)</f>
        <v>13.219033868788925</v>
      </c>
      <c r="U19" s="34">
        <f t="shared" ref="U19:U27" ca="1" si="5">IF(R19&gt;0,S19*100/R19,0)</f>
        <v>13.52846948631816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2551398</v>
      </c>
      <c r="M21" s="38">
        <f t="shared" ca="1" si="6"/>
        <v>2572554</v>
      </c>
      <c r="N21" s="38">
        <f t="shared" ca="1" si="6"/>
        <v>1982363.58</v>
      </c>
      <c r="O21" s="38">
        <f t="shared" ca="1" si="1"/>
        <v>77.697151914362237</v>
      </c>
      <c r="P21" s="38">
        <f t="shared" ca="1" si="2"/>
        <v>77.058191198318866</v>
      </c>
      <c r="Q21" s="38">
        <f t="shared" ca="1" si="7"/>
        <v>2732499.24</v>
      </c>
      <c r="R21" s="38">
        <f t="shared" ca="1" si="7"/>
        <v>2669999</v>
      </c>
      <c r="S21" s="38">
        <f t="shared" ca="1" si="7"/>
        <v>361210</v>
      </c>
      <c r="T21" s="38">
        <f t="shared" ca="1" si="4"/>
        <v>13.219033868788925</v>
      </c>
      <c r="U21" s="38">
        <f t="shared" ca="1" si="5"/>
        <v>13.52846948631816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2551398</v>
      </c>
      <c r="M22" s="46">
        <f t="shared" ca="1" si="8"/>
        <v>2572554</v>
      </c>
      <c r="N22" s="46">
        <f t="shared" ca="1" si="8"/>
        <v>1982363.58</v>
      </c>
      <c r="O22" s="46">
        <f t="shared" ca="1" si="1"/>
        <v>77.697151914362237</v>
      </c>
      <c r="P22" s="46">
        <f t="shared" ca="1" si="2"/>
        <v>77.058191198318866</v>
      </c>
      <c r="Q22" s="46">
        <f t="shared" ref="Q22:S22" ca="1" si="9">Q23+Q24</f>
        <v>2732499.24</v>
      </c>
      <c r="R22" s="46">
        <f t="shared" ca="1" si="9"/>
        <v>2669999</v>
      </c>
      <c r="S22" s="46">
        <f t="shared" ca="1" si="9"/>
        <v>361210</v>
      </c>
      <c r="T22" s="46">
        <f t="shared" ca="1" si="4"/>
        <v>13.219033868788925</v>
      </c>
      <c r="U22" s="46">
        <f t="shared" ca="1" si="5"/>
        <v>13.52846948631816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2551398</v>
      </c>
      <c r="M24" s="46">
        <f t="shared" ca="1" si="10"/>
        <v>2572554</v>
      </c>
      <c r="N24" s="46">
        <f t="shared" ca="1" si="10"/>
        <v>1982363.58</v>
      </c>
      <c r="O24" s="46">
        <f t="shared" ca="1" si="1"/>
        <v>77.697151914362237</v>
      </c>
      <c r="P24" s="46">
        <f t="shared" ca="1" si="2"/>
        <v>77.058191198318866</v>
      </c>
      <c r="Q24" s="46">
        <f t="shared" ca="1" si="11"/>
        <v>2732499.24</v>
      </c>
      <c r="R24" s="46">
        <f t="shared" ca="1" si="11"/>
        <v>2669999</v>
      </c>
      <c r="S24" s="46">
        <f t="shared" ca="1" si="11"/>
        <v>361210</v>
      </c>
      <c r="T24" s="46">
        <f t="shared" ca="1" si="4"/>
        <v>13.219033868788925</v>
      </c>
      <c r="U24" s="46">
        <f t="shared" ca="1" si="5"/>
        <v>13.52846948631816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2551398</v>
      </c>
      <c r="M41" s="525">
        <f t="shared" ca="1" si="16"/>
        <v>2572554</v>
      </c>
      <c r="N41" s="525">
        <f t="shared" ca="1" si="16"/>
        <v>1982363.58</v>
      </c>
      <c r="O41" s="525">
        <f ca="1">IF(L41&gt;0,N41*100/L41,0)</f>
        <v>77.697151914362237</v>
      </c>
      <c r="P41" s="525">
        <f ca="1">IF(M41&gt;0,N41*100/M41,0)</f>
        <v>77.058191198318866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455288</v>
      </c>
      <c r="M45" s="78">
        <f t="shared" ca="1" si="17"/>
        <v>464944</v>
      </c>
      <c r="N45" s="78">
        <f t="shared" ca="1" si="17"/>
        <v>379344</v>
      </c>
      <c r="O45" s="78">
        <f t="shared" ref="O45:O53" ca="1" si="18">IF(L45&gt;0,N45*100/L45,0)</f>
        <v>83.319569151833562</v>
      </c>
      <c r="P45" s="78">
        <f t="shared" ref="P45:P53" ca="1" si="19">IF(M45&gt;0,N45*100/M45,0)</f>
        <v>81.589180632506284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455288</v>
      </c>
      <c r="M47" s="82">
        <f t="shared" ca="1" si="23"/>
        <v>464944</v>
      </c>
      <c r="N47" s="82">
        <f t="shared" ca="1" si="23"/>
        <v>379344</v>
      </c>
      <c r="O47" s="82">
        <f t="shared" ca="1" si="18"/>
        <v>83.319569151833562</v>
      </c>
      <c r="P47" s="82">
        <f t="shared" ca="1" si="19"/>
        <v>81.589180632506284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455288</v>
      </c>
      <c r="M48" s="46">
        <f t="shared" ca="1" si="25"/>
        <v>464944</v>
      </c>
      <c r="N48" s="46">
        <f t="shared" ca="1" si="25"/>
        <v>379344</v>
      </c>
      <c r="O48" s="46">
        <f t="shared" ca="1" si="18"/>
        <v>83.319569151833562</v>
      </c>
      <c r="P48" s="46">
        <f t="shared" ca="1" si="19"/>
        <v>81.589180632506284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IFERROR(__xludf.DUMMYFUNCTION("IMPORTRANGE(""https://docs.google.com/spreadsheets/d/1-uDff_7J0KD5mKrp0Vvzr7lt3OU09vwQwhkpOPPYv2Y/edit?usp=sharing"",""งบพรบ!P88"")"),455288)</f>
        <v>455288</v>
      </c>
      <c r="M50" s="46">
        <f ca="1">IFERROR(__xludf.DUMMYFUNCTION("IMPORTRANGE(""https://docs.google.com/spreadsheets/d/1-uDff_7J0KD5mKrp0Vvzr7lt3OU09vwQwhkpOPPYv2Y/edit?usp=sharing"",""งบพรบ!V88"")"),464944)</f>
        <v>464944</v>
      </c>
      <c r="N50" s="46">
        <f ca="1">IFERROR(__xludf.DUMMYFUNCTION("IMPORTRANGE(""https://docs.google.com/spreadsheets/d/1-uDff_7J0KD5mKrp0Vvzr7lt3OU09vwQwhkpOPPYv2Y/edit?usp=sharing"",""งบพรบ!Y88"")"),379344)</f>
        <v>379344</v>
      </c>
      <c r="O50" s="46">
        <f t="shared" ca="1" si="18"/>
        <v>83.319569151833562</v>
      </c>
      <c r="P50" s="46">
        <f t="shared" ca="1" si="19"/>
        <v>81.589180632506284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IFERROR(__xludf.DUMMYFUNCTION("IMPORTRANGE(""https://docs.google.com/spreadsheets/d/1-uDff_7J0KD5mKrp0Vvzr7lt3OU09vwQwhkpOPPYv2Y/edit?usp=sharing"",""งบพรบ!S88"")"),0)</f>
        <v>0</v>
      </c>
      <c r="M53" s="46">
        <f ca="1">IFERROR(__xludf.DUMMYFUNCTION("IMPORTRANGE(""https://docs.google.com/spreadsheets/d/1-uDff_7J0KD5mKrp0Vvzr7lt3OU09vwQwhkpOPPYv2Y/edit?usp=sharing"",""งบพรบ!W88"")"),0)</f>
        <v>0</v>
      </c>
      <c r="N53" s="46">
        <f ca="1">IFERROR(__xludf.DUMMYFUNCTION("IMPORTRANGE(""https://docs.google.com/spreadsheets/d/1-uDff_7J0KD5mKrp0Vvzr7lt3OU09vwQwhkpOPPYv2Y/edit?usp=sharing"",""งบพรบ!Z88"")"),0)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363900</v>
      </c>
      <c r="M60" s="105">
        <f t="shared" ca="1" si="29"/>
        <v>363900</v>
      </c>
      <c r="N60" s="105">
        <f t="shared" ca="1" si="29"/>
        <v>285177.71000000002</v>
      </c>
      <c r="O60" s="105">
        <f t="shared" ref="O60:O68" ca="1" si="30">IF(L60&gt;0,N60*100/L60,0)</f>
        <v>78.367054135751587</v>
      </c>
      <c r="P60" s="105">
        <f t="shared" ref="P60:P68" ca="1" si="31">IF(M60&gt;0,N60*100/M60,0)</f>
        <v>78.367054135751587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363900</v>
      </c>
      <c r="M62" s="108">
        <f t="shared" ca="1" si="35"/>
        <v>363900</v>
      </c>
      <c r="N62" s="108">
        <f t="shared" ca="1" si="35"/>
        <v>285177.71000000002</v>
      </c>
      <c r="O62" s="108">
        <f t="shared" ca="1" si="30"/>
        <v>78.367054135751587</v>
      </c>
      <c r="P62" s="108">
        <f t="shared" ca="1" si="31"/>
        <v>78.367054135751587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363900</v>
      </c>
      <c r="M63" s="46">
        <f t="shared" ca="1" si="37"/>
        <v>363900</v>
      </c>
      <c r="N63" s="46">
        <f t="shared" ca="1" si="37"/>
        <v>285177.71000000002</v>
      </c>
      <c r="O63" s="46">
        <f t="shared" ca="1" si="30"/>
        <v>78.367054135751587</v>
      </c>
      <c r="P63" s="46">
        <f t="shared" ca="1" si="31"/>
        <v>78.367054135751587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IFERROR(__xludf.DUMMYFUNCTION("IMPORTRANGE(""https://docs.google.com/spreadsheets/d/1-uDff_7J0KD5mKrp0Vvzr7lt3OU09vwQwhkpOPPYv2Y/edit?usp=sharing"",""งบพรบ!AC88"")"),363900)</f>
        <v>363900</v>
      </c>
      <c r="M65" s="46">
        <f ca="1">IFERROR(__xludf.DUMMYFUNCTION("IMPORTRANGE(""https://docs.google.com/spreadsheets/d/1-uDff_7J0KD5mKrp0Vvzr7lt3OU09vwQwhkpOPPYv2Y/edit?usp=sharing"",""งบพรบ!AH88"")"),363900)</f>
        <v>363900</v>
      </c>
      <c r="N65" s="46">
        <f ca="1">IFERROR(__xludf.DUMMYFUNCTION("IMPORTRANGE(""https://docs.google.com/spreadsheets/d/1-uDff_7J0KD5mKrp0Vvzr7lt3OU09vwQwhkpOPPYv2Y/edit?usp=sharing"",""งบพรบ!AJ88"")"),285177.71)</f>
        <v>285177.71000000002</v>
      </c>
      <c r="O65" s="46">
        <f t="shared" ca="1" si="30"/>
        <v>78.367054135751587</v>
      </c>
      <c r="P65" s="46">
        <f t="shared" ca="1" si="31"/>
        <v>78.367054135751587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IFERROR(__xludf.DUMMYFUNCTION("IMPORTRANGE(""https://docs.google.com/spreadsheets/d/1-uDff_7J0KD5mKrp0Vvzr7lt3OU09vwQwhkpOPPYv2Y/edit?usp=sharing"",""งบพรบ!AF88"")"),0)</f>
        <v>0</v>
      </c>
      <c r="M68" s="110">
        <f ca="1">IFERROR(__xludf.DUMMYFUNCTION("IMPORTRANGE(""https://docs.google.com/spreadsheets/d/1-uDff_7J0KD5mKrp0Vvzr7lt3OU09vwQwhkpOPPYv2Y/edit?usp=sharing"",""งบพรบ!AI88"")"),0)</f>
        <v>0</v>
      </c>
      <c r="N68" s="110">
        <f ca="1">IFERROR(__xludf.DUMMYFUNCTION("IMPORTRANGE(""https://docs.google.com/spreadsheets/d/1-uDff_7J0KD5mKrp0Vvzr7lt3OU09vwQwhkpOPPYv2Y/edit?usp=sharing"",""งบพรบ!AK88"")"),0)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2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61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98000</v>
      </c>
      <c r="M73" s="132">
        <f t="shared" ca="1" si="43"/>
        <v>98000</v>
      </c>
      <c r="N73" s="132">
        <f t="shared" ca="1" si="43"/>
        <v>72000</v>
      </c>
      <c r="O73" s="132">
        <f t="shared" ref="O73:O81" ca="1" si="44">IF(L73&gt;0,N73*100/L73,0)</f>
        <v>73.469387755102048</v>
      </c>
      <c r="P73" s="132">
        <f t="shared" ref="P73:P81" ca="1" si="45">IF(M73&gt;0,N73*100/M73,0)</f>
        <v>73.469387755102048</v>
      </c>
      <c r="Q73" s="132">
        <f t="shared" ref="Q73:S73" ca="1" si="46">Q74+Q75</f>
        <v>792520</v>
      </c>
      <c r="R73" s="132">
        <f t="shared" ca="1" si="46"/>
        <v>792520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98000</v>
      </c>
      <c r="M75" s="46">
        <f t="shared" ca="1" si="49"/>
        <v>98000</v>
      </c>
      <c r="N75" s="46">
        <f t="shared" ca="1" si="49"/>
        <v>72000</v>
      </c>
      <c r="O75" s="46">
        <f t="shared" ca="1" si="44"/>
        <v>73.469387755102048</v>
      </c>
      <c r="P75" s="46">
        <f t="shared" ca="1" si="45"/>
        <v>73.469387755102048</v>
      </c>
      <c r="Q75" s="46">
        <f t="shared" ca="1" si="50"/>
        <v>792520</v>
      </c>
      <c r="R75" s="46">
        <f t="shared" ca="1" si="50"/>
        <v>792520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98000</v>
      </c>
      <c r="M76" s="46">
        <f t="shared" ca="1" si="51"/>
        <v>98000</v>
      </c>
      <c r="N76" s="46">
        <f t="shared" ca="1" si="51"/>
        <v>72000</v>
      </c>
      <c r="O76" s="46">
        <f t="shared" ca="1" si="44"/>
        <v>73.469387755102048</v>
      </c>
      <c r="P76" s="46">
        <f t="shared" ca="1" si="45"/>
        <v>73.469387755102048</v>
      </c>
      <c r="Q76" s="46">
        <f t="shared" ref="Q76:S76" ca="1" si="52">Q77+Q78</f>
        <v>792520</v>
      </c>
      <c r="R76" s="46">
        <f t="shared" ca="1" si="52"/>
        <v>792520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IFERROR(__xludf.DUMMYFUNCTION("IMPORTRANGE(""https://docs.google.com/spreadsheets/d/1-uDff_7J0KD5mKrp0Vvzr7lt3OU09vwQwhkpOPPYv2Y/edit?usp=sharing"",""งบพรบ!AM88"")"),98000)</f>
        <v>98000</v>
      </c>
      <c r="M78" s="46">
        <f ca="1">IFERROR(__xludf.DUMMYFUNCTION("IMPORTRANGE(""https://docs.google.com/spreadsheets/d/1-uDff_7J0KD5mKrp0Vvzr7lt3OU09vwQwhkpOPPYv2Y/edit?usp=sharing"",""งบพรบ!AR88"")"),98000)</f>
        <v>98000</v>
      </c>
      <c r="N78" s="46">
        <f ca="1">IFERROR(__xludf.DUMMYFUNCTION("IMPORTRANGE(""https://docs.google.com/spreadsheets/d/1-uDff_7J0KD5mKrp0Vvzr7lt3OU09vwQwhkpOPPYv2Y/edit?usp=sharing"",""งบพรบ!AT88"")"),72000)</f>
        <v>72000</v>
      </c>
      <c r="O78" s="46">
        <f t="shared" ca="1" si="44"/>
        <v>73.469387755102048</v>
      </c>
      <c r="P78" s="46">
        <f t="shared" ca="1" si="45"/>
        <v>73.469387755102048</v>
      </c>
      <c r="Q78" s="46">
        <f ca="1">IFERROR(__xludf.DUMMYFUNCTION("IMPORTRANGE(""https://docs.google.com/spreadsheets/d/1ItG2mGa2ceCfYo0BwxsXqNm01IGEUdYcSSLTEv9YCik/edit?usp=sharing"",""เบิกจ่ายกองทุน!AS88"")"),792520)</f>
        <v>792520</v>
      </c>
      <c r="R78" s="46">
        <f ca="1">IFERROR(__xludf.DUMMYFUNCTION("IMPORTRANGE(""https://docs.google.com/spreadsheets/d/1ItG2mGa2ceCfYo0BwxsXqNm01IGEUdYcSSLTEv9YCik/edit?usp=sharing"",""เบิกจ่ายกองทุน!AT88"")"),792520)</f>
        <v>792520</v>
      </c>
      <c r="S78" s="46">
        <f ca="1">IFERROR(__xludf.DUMMYFUNCTION("IMPORTRANGE(""https://docs.google.com/spreadsheets/d/1ItG2mGa2ceCfYo0BwxsXqNm01IGEUdYcSSLTEv9YCik/edit?usp=sharing"",""เบิกจ่ายกองทุน!AU88"")"),0)</f>
        <v>0</v>
      </c>
      <c r="T78" s="46">
        <f t="shared" ca="1" si="47"/>
        <v>0</v>
      </c>
      <c r="U78" s="46">
        <f t="shared" ca="1" si="48"/>
        <v>0</v>
      </c>
    </row>
    <row r="79" spans="1:21" ht="18.75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IFERROR(__xludf.DUMMYFUNCTION("IMPORTRANGE(""https://docs.google.com/spreadsheets/d/1-uDff_7J0KD5mKrp0Vvzr7lt3OU09vwQwhkpOPPYv2Y/edit?usp=sharing"",""งบพรบ!AP88"")"),0)</f>
        <v>0</v>
      </c>
      <c r="M81" s="46">
        <f ca="1">IFERROR(__xludf.DUMMYFUNCTION("IMPORTRANGE(""https://docs.google.com/spreadsheets/d/1-uDff_7J0KD5mKrp0Vvzr7lt3OU09vwQwhkpOPPYv2Y/edit?usp=sharing"",""งบพรบ!AS88"")"),0)</f>
        <v>0</v>
      </c>
      <c r="N81" s="46">
        <f ca="1">IFERROR(__xludf.DUMMYFUNCTION("IMPORTRANGE(""https://docs.google.com/spreadsheets/d/1-uDff_7J0KD5mKrp0Vvzr7lt3OU09vwQwhkpOPPYv2Y/edit?usp=sharing"",""งบพรบ!AU88"")"),0)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2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61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IFERROR(__xludf.DUMMYFUNCTION("IMPORTRANGE(""https://docs.google.com/spreadsheets/d/1eHaY18a8A9IcSdp1K8H6x8fbOy06t2VsZHhMHf-1x7Y/edit?usp=sharing"",""แผน!H88"")"),1)</f>
        <v>1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IFERROR(__xludf.DUMMYFUNCTION("IMPORTRANGE(""https://docs.google.com/spreadsheets/d/1eHaY18a8A9IcSdp1K8H6x8fbOy06t2VsZHhMHf-1x7Y/edit?usp=sharing"",""แผน!I88"")"),31)</f>
        <v>31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IFERROR(__xludf.DUMMYFUNCTION("IMPORTRANGE(""https://docs.google.com/spreadsheets/d/1eHaY18a8A9IcSdp1K8H6x8fbOy06t2VsZHhMHf-1x7Y/edit?usp=sharing"",""แผน!F88"")"),1)</f>
        <v>1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IFERROR(__xludf.DUMMYFUNCTION("IMPORTRANGE(""https://docs.google.com/spreadsheets/d/1eHaY18a8A9IcSdp1K8H6x8fbOy06t2VsZHhMHf-1x7Y/edit?usp=sharing"",""แผน!G88"")"),30)</f>
        <v>30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IFERROR(__xludf.DUMMYFUNCTION("IMPORTRANGE(""https://docs.google.com/spreadsheets/d/1eHaY18a8A9IcSdp1K8H6x8fbOy06t2VsZHhMHf-1x7Y/edit?usp=sharing"",""แผน!D88"")"),0)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IFERROR(__xludf.DUMMYFUNCTION("IMPORTRANGE(""https://docs.google.com/spreadsheets/d/1eHaY18a8A9IcSdp1K8H6x8fbOy06t2VsZHhMHf-1x7Y/edit?usp=sharing"",""แผน!E88"")"),0)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IFERROR(__xludf.DUMMYFUNCTION("IMPORTRANGE(""https://docs.google.com/spreadsheets/d/1eHaY18a8A9IcSdp1K8H6x8fbOy06t2VsZHhMHf-1x7Y/edit?usp=sharing"",""แผน!J88"")"),2)</f>
        <v>2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30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10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84420</v>
      </c>
      <c r="R95" s="132">
        <f t="shared" ca="1" si="62"/>
        <v>84420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84420</v>
      </c>
      <c r="R97" s="46">
        <f t="shared" ca="1" si="66"/>
        <v>84420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84420</v>
      </c>
      <c r="R98" s="46">
        <f t="shared" ca="1" si="68"/>
        <v>84420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IFERROR(__xludf.DUMMYFUNCTION("IMPORTRANGE(""https://docs.google.com/spreadsheets/d/1-uDff_7J0KD5mKrp0Vvzr7lt3OU09vwQwhkpOPPYv2Y/edit?usp=sharing"",""งบพรบ!AW88"")"),0)</f>
        <v>0</v>
      </c>
      <c r="M100" s="46">
        <f ca="1">IFERROR(__xludf.DUMMYFUNCTION("IMPORTRANGE(""https://docs.google.com/spreadsheets/d/1-uDff_7J0KD5mKrp0Vvzr7lt3OU09vwQwhkpOPPYv2Y/edit?usp=sharing"",""งบพรบ!BB88"")"),0)</f>
        <v>0</v>
      </c>
      <c r="N100" s="46">
        <f ca="1">IFERROR(__xludf.DUMMYFUNCTION("IMPORTRANGE(""https://docs.google.com/spreadsheets/d/1-uDff_7J0KD5mKrp0Vvzr7lt3OU09vwQwhkpOPPYv2Y/edit?usp=sharing"",""งบพรบ!BD88"")"),0)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IFERROR(__xludf.DUMMYFUNCTION("IMPORTRANGE(""https://docs.google.com/spreadsheets/d/1ItG2mGa2ceCfYo0BwxsXqNm01IGEUdYcSSLTEv9YCik/edit?usp=sharing"",""เบิกจ่ายกองทุน!AD88"")"),84420)</f>
        <v>84420</v>
      </c>
      <c r="R100" s="46">
        <f ca="1">IFERROR(__xludf.DUMMYFUNCTION("IMPORTRANGE(""https://docs.google.com/spreadsheets/d/1ItG2mGa2ceCfYo0BwxsXqNm01IGEUdYcSSLTEv9YCik/edit?usp=sharing"",""เบิกจ่ายกองทุน!AE88"")"),84420)</f>
        <v>84420</v>
      </c>
      <c r="S100" s="46">
        <f ca="1">IFERROR(__xludf.DUMMYFUNCTION("IMPORTRANGE(""https://docs.google.com/spreadsheets/d/1ItG2mGa2ceCfYo0BwxsXqNm01IGEUdYcSSLTEv9YCik/edit?usp=sharing"",""เบิกจ่ายกองทุน!AF88"")"),0)</f>
        <v>0</v>
      </c>
      <c r="T100" s="46">
        <f t="shared" ca="1" si="63"/>
        <v>0</v>
      </c>
      <c r="U100" s="46">
        <f t="shared" ca="1" si="64"/>
        <v>0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IFERROR(__xludf.DUMMYFUNCTION("IMPORTRANGE(""https://docs.google.com/spreadsheets/d/1-uDff_7J0KD5mKrp0Vvzr7lt3OU09vwQwhkpOPPYv2Y/edit?usp=sharing"",""งบพรบ!AZ88"")"),0)</f>
        <v>0</v>
      </c>
      <c r="M103" s="46">
        <f ca="1">IFERROR(__xludf.DUMMYFUNCTION("IMPORTRANGE(""https://docs.google.com/spreadsheets/d/1-uDff_7J0KD5mKrp0Vvzr7lt3OU09vwQwhkpOPPYv2Y/edit?usp=sharing"",""งบพรบ!BC88"")"),0)</f>
        <v>0</v>
      </c>
      <c r="N103" s="46">
        <f ca="1">IFERROR(__xludf.DUMMYFUNCTION("IMPORTRANGE(""https://docs.google.com/spreadsheets/d/1-uDff_7J0KD5mKrp0Vvzr7lt3OU09vwQwhkpOPPYv2Y/edit?usp=sharing"",""งบพรบ!BE88"")"),0)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IFERROR(__xludf.DUMMYFUNCTION("IMPORTRANGE(""https://docs.google.com/spreadsheets/d/1eHaY18a8A9IcSdp1K8H6x8fbOy06t2VsZHhMHf-1x7Y/edit?usp=sharing"",""แผน!N88"")"),30)</f>
        <v>30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IFERROR(__xludf.DUMMYFUNCTION("IMPORTRANGE(""https://docs.google.com/spreadsheets/d/1eHaY18a8A9IcSdp1K8H6x8fbOy06t2VsZHhMHf-1x7Y/edit?usp=sharing"",""แผน!O88"")"),10)</f>
        <v>10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IFERROR(__xludf.DUMMYFUNCTION("IMPORTRANGE(""https://docs.google.com/spreadsheets/d/1eHaY18a8A9IcSdp1K8H6x8fbOy06t2VsZHhMHf-1x7Y/edit?usp=sharing"",""แผน!N88"")"),30)</f>
        <v>30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IFERROR(__xludf.DUMMYFUNCTION("IMPORTRANGE(""https://docs.google.com/spreadsheets/d/1eHaY18a8A9IcSdp1K8H6x8fbOy06t2VsZHhMHf-1x7Y/edit?usp=sharing"",""แผน!O88"")"),10)</f>
        <v>10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50</v>
      </c>
      <c r="J117" s="127">
        <f t="shared" si="73"/>
        <v>50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284520</v>
      </c>
      <c r="R118" s="132">
        <f t="shared" ca="1" si="77"/>
        <v>284520</v>
      </c>
      <c r="S118" s="132">
        <f t="shared" ca="1" si="77"/>
        <v>172130</v>
      </c>
      <c r="T118" s="132">
        <f t="shared" ref="T118:T126" ca="1" si="78">IF(Q118&gt;0,S118*100/Q118,0)</f>
        <v>60.498383241951359</v>
      </c>
      <c r="U118" s="132">
        <f t="shared" ref="U118:U126" ca="1" si="79">IF(R118&gt;0,S118*100/R118,0)</f>
        <v>60.498383241951359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284520</v>
      </c>
      <c r="R120" s="46">
        <f t="shared" ca="1" si="81"/>
        <v>284520</v>
      </c>
      <c r="S120" s="46">
        <f t="shared" ca="1" si="81"/>
        <v>172130</v>
      </c>
      <c r="T120" s="46">
        <f t="shared" ca="1" si="78"/>
        <v>60.498383241951359</v>
      </c>
      <c r="U120" s="46">
        <f t="shared" ca="1" si="79"/>
        <v>60.498383241951359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284520</v>
      </c>
      <c r="R121" s="46">
        <f t="shared" ca="1" si="83"/>
        <v>284520</v>
      </c>
      <c r="S121" s="46">
        <f t="shared" ca="1" si="83"/>
        <v>172130</v>
      </c>
      <c r="T121" s="46">
        <f t="shared" ca="1" si="78"/>
        <v>60.498383241951359</v>
      </c>
      <c r="U121" s="46">
        <f t="shared" ca="1" si="79"/>
        <v>60.498383241951359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IFERROR(__xludf.DUMMYFUNCTION("IMPORTRANGE(""https://docs.google.com/spreadsheets/d/1-uDff_7J0KD5mKrp0Vvzr7lt3OU09vwQwhkpOPPYv2Y/edit?usp=sharing"",""งบพรบ!BG88"")"),0)</f>
        <v>0</v>
      </c>
      <c r="M123" s="46">
        <f ca="1">IFERROR(__xludf.DUMMYFUNCTION("IMPORTRANGE(""https://docs.google.com/spreadsheets/d/1-uDff_7J0KD5mKrp0Vvzr7lt3OU09vwQwhkpOPPYv2Y/edit?usp=sharing"",""งบพรบ!BL88"")"),0)</f>
        <v>0</v>
      </c>
      <c r="N123" s="46">
        <f ca="1">IFERROR(__xludf.DUMMYFUNCTION("IMPORTRANGE(""https://docs.google.com/spreadsheets/d/1-uDff_7J0KD5mKrp0Vvzr7lt3OU09vwQwhkpOPPYv2Y/edit?usp=sharing"",""งบพรบ!BN88"")"),0)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IFERROR(__xludf.DUMMYFUNCTION("IMPORTRANGE(""https://docs.google.com/spreadsheets/d/1ItG2mGa2ceCfYo0BwxsXqNm01IGEUdYcSSLTEv9YCik/edit?usp=sharing"",""เบิกจ่ายกองทุน!R88"")"),284520)</f>
        <v>284520</v>
      </c>
      <c r="R123" s="46">
        <f ca="1">IFERROR(__xludf.DUMMYFUNCTION("IMPORTRANGE(""https://docs.google.com/spreadsheets/d/1ItG2mGa2ceCfYo0BwxsXqNm01IGEUdYcSSLTEv9YCik/edit?usp=sharing"",""เบิกจ่ายกองทุน!S88"")"),284520)</f>
        <v>284520</v>
      </c>
      <c r="S123" s="46">
        <f ca="1">IFERROR(__xludf.DUMMYFUNCTION("IMPORTRANGE(""https://docs.google.com/spreadsheets/d/1ItG2mGa2ceCfYo0BwxsXqNm01IGEUdYcSSLTEv9YCik/edit?usp=sharing"",""เบิกจ่ายกองทุน!T88"")"),172130)</f>
        <v>172130</v>
      </c>
      <c r="T123" s="46">
        <f t="shared" ca="1" si="78"/>
        <v>60.498383241951359</v>
      </c>
      <c r="U123" s="46">
        <f t="shared" ca="1" si="79"/>
        <v>60.498383241951359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IFERROR(__xludf.DUMMYFUNCTION("IMPORTRANGE(""https://docs.google.com/spreadsheets/d/1-uDff_7J0KD5mKrp0Vvzr7lt3OU09vwQwhkpOPPYv2Y/edit?usp=sharing"",""งบพรบ!BJ88"")"),0)</f>
        <v>0</v>
      </c>
      <c r="M126" s="46">
        <f ca="1">IFERROR(__xludf.DUMMYFUNCTION("IMPORTRANGE(""https://docs.google.com/spreadsheets/d/1-uDff_7J0KD5mKrp0Vvzr7lt3OU09vwQwhkpOPPYv2Y/edit?usp=sharing"",""งบพรบ!BM88"")"),0)</f>
        <v>0</v>
      </c>
      <c r="N126" s="46">
        <f ca="1">IFERROR(__xludf.DUMMYFUNCTION("IMPORTRANGE(""https://docs.google.com/spreadsheets/d/1-uDff_7J0KD5mKrp0Vvzr7lt3OU09vwQwhkpOPPYv2Y/edit?usp=sharing"",""งบพรบ!BO88"")"),0)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IFERROR(__xludf.DUMMYFUNCTION("IMPORTRANGE(""https://docs.google.com/spreadsheets/d/1eHaY18a8A9IcSdp1K8H6x8fbOy06t2VsZHhMHf-1x7Y/edit?usp=sharing"",""แผน!FF88"")"),50)</f>
        <v>50</v>
      </c>
      <c r="J128" s="168">
        <v>50</v>
      </c>
      <c r="K128" s="46">
        <f t="shared" ref="K128:K131" ca="1" si="86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IFERROR(__xludf.DUMMYFUNCTION("IMPORTRANGE(""https://docs.google.com/spreadsheets/d/1eHaY18a8A9IcSdp1K8H6x8fbOy06t2VsZHhMHf-1x7Y/edit?usp=sharing"",""แผน!FG88"")"),0)</f>
        <v>0</v>
      </c>
      <c r="J129" s="168">
        <v>0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IFERROR(__xludf.DUMMYFUNCTION("IMPORTRANGE(""https://docs.google.com/spreadsheets/d/1eHaY18a8A9IcSdp1K8H6x8fbOy06t2VsZHhMHf-1x7Y/edit?usp=sharing"",""แผน!FH88"")"),20)</f>
        <v>20</v>
      </c>
      <c r="J130" s="168">
        <v>20</v>
      </c>
      <c r="K130" s="46">
        <f t="shared" ca="1" si="86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IFERROR(__xludf.DUMMYFUNCTION("IMPORTRANGE(""https://docs.google.com/spreadsheets/d/1eHaY18a8A9IcSdp1K8H6x8fbOy06t2VsZHhMHf-1x7Y/edit?usp=sharing"",""แผน!FI88"")"),0)</f>
        <v>0</v>
      </c>
      <c r="J131" s="168">
        <v>0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0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20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2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31600</v>
      </c>
      <c r="M140" s="132">
        <f t="shared" ca="1" si="90"/>
        <v>26600</v>
      </c>
      <c r="N140" s="132">
        <f t="shared" ca="1" si="90"/>
        <v>20040</v>
      </c>
      <c r="O140" s="132">
        <f t="shared" ref="O140:O148" ca="1" si="91">IF(L140&gt;0,N140*100/L140,0)</f>
        <v>63.417721518987342</v>
      </c>
      <c r="P140" s="132">
        <f t="shared" ref="P140:P148" ca="1" si="92">IF(M140&gt;0,N140*100/M140,0)</f>
        <v>75.338345864661648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31600</v>
      </c>
      <c r="M142" s="46">
        <f t="shared" ca="1" si="96"/>
        <v>26600</v>
      </c>
      <c r="N142" s="46">
        <f t="shared" ca="1" si="96"/>
        <v>20040</v>
      </c>
      <c r="O142" s="46">
        <f t="shared" ca="1" si="91"/>
        <v>63.417721518987342</v>
      </c>
      <c r="P142" s="46">
        <f t="shared" ca="1" si="92"/>
        <v>75.338345864661648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31600</v>
      </c>
      <c r="M143" s="46">
        <f t="shared" ca="1" si="98"/>
        <v>26600</v>
      </c>
      <c r="N143" s="46">
        <f t="shared" ca="1" si="98"/>
        <v>20040</v>
      </c>
      <c r="O143" s="46">
        <f t="shared" ca="1" si="91"/>
        <v>63.417721518987342</v>
      </c>
      <c r="P143" s="46">
        <f t="shared" ca="1" si="92"/>
        <v>75.338345864661648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IFERROR(__xludf.DUMMYFUNCTION("IMPORTRANGE(""https://docs.google.com/spreadsheets/d/1-uDff_7J0KD5mKrp0Vvzr7lt3OU09vwQwhkpOPPYv2Y/edit?usp=sharing"",""งบพรบ!BQ88"")"),31600)</f>
        <v>31600</v>
      </c>
      <c r="M145" s="46">
        <f ca="1">IFERROR(__xludf.DUMMYFUNCTION("IMPORTRANGE(""https://docs.google.com/spreadsheets/d/1-uDff_7J0KD5mKrp0Vvzr7lt3OU09vwQwhkpOPPYv2Y/edit?usp=sharing"",""งบพรบ!BV88"")"),26600)</f>
        <v>26600</v>
      </c>
      <c r="N145" s="46">
        <f ca="1">IFERROR(__xludf.DUMMYFUNCTION("IMPORTRANGE(""https://docs.google.com/spreadsheets/d/1-uDff_7J0KD5mKrp0Vvzr7lt3OU09vwQwhkpOPPYv2Y/edit?usp=sharing"",""งบพรบ!BX88"")"),20040)</f>
        <v>20040</v>
      </c>
      <c r="O145" s="46">
        <f t="shared" ca="1" si="91"/>
        <v>63.417721518987342</v>
      </c>
      <c r="P145" s="46">
        <f t="shared" ca="1" si="92"/>
        <v>75.338345864661648</v>
      </c>
      <c r="Q145" s="46">
        <f ca="1">IFERROR(__xludf.DUMMYFUNCTION("IMPORTRANGE(""https://docs.google.com/spreadsheets/d/1ItG2mGa2ceCfYo0BwxsXqNm01IGEUdYcSSLTEv9YCik/edit?usp=sharing"",""เบิกจ่ายกองทุน!BB88"")"),0)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IFERROR(__xludf.DUMMYFUNCTION("IMPORTRANGE(""https://docs.google.com/spreadsheets/d/1ItG2mGa2ceCfYo0BwxsXqNm01IGEUdYcSSLTEv9YCik/edit?usp=sharing"",""เบิกจ่ายกองทุน!BC88"")"),0)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IFERROR(__xludf.DUMMYFUNCTION("IMPORTRANGE(""https://docs.google.com/spreadsheets/d/1ItG2mGa2ceCfYo0BwxsXqNm01IGEUdYcSSLTEv9YCik/edit?usp=sharing"",""เบิกจ่ายกองทุน!BD88"")"),0)</f>
        <v>0</v>
      </c>
      <c r="T145" s="46">
        <f t="shared" ca="1" si="94"/>
        <v>0</v>
      </c>
      <c r="U145" s="46">
        <f t="shared" ca="1" si="95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IFERROR(__xludf.DUMMYFUNCTION("IMPORTRANGE(""https://docs.google.com/spreadsheets/d/1-uDff_7J0KD5mKrp0Vvzr7lt3OU09vwQwhkpOPPYv2Y/edit?usp=sharing"",""งบพรบ!BT88"")"),0)</f>
        <v>0</v>
      </c>
      <c r="M148" s="46">
        <f ca="1">IFERROR(__xludf.DUMMYFUNCTION("IMPORTRANGE(""https://docs.google.com/spreadsheets/d/1-uDff_7J0KD5mKrp0Vvzr7lt3OU09vwQwhkpOPPYv2Y/edit?usp=sharing"",""งบพรบ!BW88"")"),0)</f>
        <v>0</v>
      </c>
      <c r="N148" s="46">
        <f ca="1">IFERROR(__xludf.DUMMYFUNCTION("IMPORTRANGE(""https://docs.google.com/spreadsheets/d/1-uDff_7J0KD5mKrp0Vvzr7lt3OU09vwQwhkpOPPYv2Y/edit?usp=sharing"",""งบพรบ!BY88"")"),0)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IFERROR(__xludf.DUMMYFUNCTION("IMPORTRANGE(""https://docs.google.com/spreadsheets/d/1eHaY18a8A9IcSdp1K8H6x8fbOy06t2VsZHhMHf-1x7Y/edit?usp=sharing"",""แผน!U88"")"),0)</f>
        <v>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IFERROR(__xludf.DUMMYFUNCTION("IMPORTRANGE(""https://docs.google.com/spreadsheets/d/1eHaY18a8A9IcSdp1K8H6x8fbOy06t2VsZHhMHf-1x7Y/edit?usp=sharing"",""แผน!V88"")"),0)</f>
        <v>0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IFERROR(__xludf.DUMMYFUNCTION("IMPORTRANGE(""https://docs.google.com/spreadsheets/d/1eHaY18a8A9IcSdp1K8H6x8fbOy06t2VsZHhMHf-1x7Y/edit?usp=sharing"",""แผน!W88"")"),20)</f>
        <v>20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IFERROR(__xludf.DUMMYFUNCTION("IMPORTRANGE(""https://docs.google.com/spreadsheets/d/1eHaY18a8A9IcSdp1K8H6x8fbOy06t2VsZHhMHf-1x7Y/edit?usp=sharing"",""แผน!X88"")"),2)</f>
        <v>2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IFERROR(__xludf.DUMMYFUNCTION("IMPORTRANGE(""https://docs.google.com/spreadsheets/d/1eHaY18a8A9IcSdp1K8H6x8fbOy06t2VsZHhMHf-1x7Y/edit?usp=sharing"",""แผน!Y88"")"),0)</f>
        <v>0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I168</f>
        <v>15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3000</v>
      </c>
      <c r="M158" s="132">
        <f t="shared" ca="1" si="104"/>
        <v>2250</v>
      </c>
      <c r="N158" s="132">
        <f t="shared" ca="1" si="104"/>
        <v>2250</v>
      </c>
      <c r="O158" s="132">
        <f t="shared" ref="O158:O166" ca="1" si="105">IF(L158&gt;0,N158*100/L158,0)</f>
        <v>75</v>
      </c>
      <c r="P158" s="132">
        <f t="shared" ref="P158:P166" ca="1" si="106">IF(M158&gt;0,N158*100/M158,0)</f>
        <v>100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3000</v>
      </c>
      <c r="M160" s="46">
        <f t="shared" ca="1" si="110"/>
        <v>2250</v>
      </c>
      <c r="N160" s="46">
        <f t="shared" ca="1" si="110"/>
        <v>2250</v>
      </c>
      <c r="O160" s="46">
        <f t="shared" ca="1" si="105"/>
        <v>75</v>
      </c>
      <c r="P160" s="46">
        <f t="shared" ca="1" si="106"/>
        <v>100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3000</v>
      </c>
      <c r="M161" s="46">
        <f t="shared" ca="1" si="112"/>
        <v>2250</v>
      </c>
      <c r="N161" s="46">
        <f t="shared" ca="1" si="112"/>
        <v>2250</v>
      </c>
      <c r="O161" s="46">
        <f t="shared" ca="1" si="105"/>
        <v>75</v>
      </c>
      <c r="P161" s="46">
        <f t="shared" ca="1" si="106"/>
        <v>100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IFERROR(__xludf.DUMMYFUNCTION("IMPORTRANGE(""https://docs.google.com/spreadsheets/d/1-uDff_7J0KD5mKrp0Vvzr7lt3OU09vwQwhkpOPPYv2Y/edit?usp=sharing"",""งบพรบ!CA88"")"),3000)</f>
        <v>3000</v>
      </c>
      <c r="M163" s="46">
        <f ca="1">IFERROR(__xludf.DUMMYFUNCTION("IMPORTRANGE(""https://docs.google.com/spreadsheets/d/1-uDff_7J0KD5mKrp0Vvzr7lt3OU09vwQwhkpOPPYv2Y/edit?usp=sharing"",""งบพรบ!CF88"")"),2250)</f>
        <v>2250</v>
      </c>
      <c r="N163" s="46">
        <f ca="1">IFERROR(__xludf.DUMMYFUNCTION("IMPORTRANGE(""https://docs.google.com/spreadsheets/d/1-uDff_7J0KD5mKrp0Vvzr7lt3OU09vwQwhkpOPPYv2Y/edit?usp=sharing"",""งบพรบ!CH88"")"),2250)</f>
        <v>2250</v>
      </c>
      <c r="O163" s="46">
        <f t="shared" ca="1" si="105"/>
        <v>75</v>
      </c>
      <c r="P163" s="46">
        <f t="shared" ca="1" si="106"/>
        <v>100</v>
      </c>
      <c r="Q163" s="46">
        <f ca="1">IFERROR(__xludf.DUMMYFUNCTION("IMPORTRANGE(""https://docs.google.com/spreadsheets/d/1ItG2mGa2ceCfYo0BwxsXqNm01IGEUdYcSSLTEv9YCik/edit?usp=sharing"",""เบิกจ่ายกองทุน!AG88"")"),0)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IFERROR(__xludf.DUMMYFUNCTION("IMPORTRANGE(""https://docs.google.com/spreadsheets/d/1ItG2mGa2ceCfYo0BwxsXqNm01IGEUdYcSSLTEv9YCik/edit?usp=sharing"",""เบิกจ่ายกองทุน!AH88"")"),0)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IFERROR(__xludf.DUMMYFUNCTION("IMPORTRANGE(""https://docs.google.com/spreadsheets/d/1ItG2mGa2ceCfYo0BwxsXqNm01IGEUdYcSSLTEv9YCik/edit?usp=sharing"",""เบิกจ่ายกองทุน!AI88"")"),0)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IFERROR(__xludf.DUMMYFUNCTION("IMPORTRANGE(""https://docs.google.com/spreadsheets/d/1-uDff_7J0KD5mKrp0Vvzr7lt3OU09vwQwhkpOPPYv2Y/edit?usp=sharing"",""งบพรบ!CD88"")"),0)</f>
        <v>0</v>
      </c>
      <c r="M166" s="46">
        <f ca="1">IFERROR(__xludf.DUMMYFUNCTION("IMPORTRANGE(""https://docs.google.com/spreadsheets/d/1-uDff_7J0KD5mKrp0Vvzr7lt3OU09vwQwhkpOPPYv2Y/edit?usp=sharing"",""งบพรบ!CG88"")"),0)</f>
        <v>0</v>
      </c>
      <c r="N166" s="46">
        <f ca="1">IFERROR(__xludf.DUMMYFUNCTION("IMPORTRANGE(""https://docs.google.com/spreadsheets/d/1-uDff_7J0KD5mKrp0Vvzr7lt3OU09vwQwhkpOPPYv2Y/edit?usp=sharing"",""งบพรบ!CI88"")"),0)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IFERROR(__xludf.DUMMYFUNCTION("IMPORTRANGE(""https://docs.google.com/spreadsheets/d/1eHaY18a8A9IcSdp1K8H6x8fbOy06t2VsZHhMHf-1x7Y/edit?usp=sharing"",""แผน!Z88"")"),15)</f>
        <v>15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I168</f>
        <v>15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I168</f>
        <v>15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7</v>
      </c>
      <c r="J173" s="221">
        <f t="shared" si="117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19590</v>
      </c>
      <c r="M174" s="132">
        <f t="shared" ca="1" si="118"/>
        <v>35640</v>
      </c>
      <c r="N174" s="132">
        <f t="shared" ca="1" si="118"/>
        <v>31572</v>
      </c>
      <c r="O174" s="132">
        <f t="shared" ref="O174:O182" ca="1" si="119">IF(L174&gt;0,N174*100/L174,0)</f>
        <v>161.16385911179174</v>
      </c>
      <c r="P174" s="132">
        <f t="shared" ref="P174:P182" ca="1" si="120">IF(M174&gt;0,N174*100/M174,0)</f>
        <v>88.585858585858588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19590</v>
      </c>
      <c r="M176" s="46">
        <f t="shared" ca="1" si="124"/>
        <v>35640</v>
      </c>
      <c r="N176" s="46">
        <f t="shared" ca="1" si="124"/>
        <v>31572</v>
      </c>
      <c r="O176" s="46">
        <f t="shared" ca="1" si="119"/>
        <v>161.16385911179174</v>
      </c>
      <c r="P176" s="46">
        <f t="shared" ca="1" si="120"/>
        <v>88.585858585858588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19590</v>
      </c>
      <c r="M177" s="46">
        <f t="shared" ca="1" si="126"/>
        <v>35640</v>
      </c>
      <c r="N177" s="46">
        <f t="shared" ca="1" si="126"/>
        <v>31572</v>
      </c>
      <c r="O177" s="46">
        <f t="shared" ca="1" si="119"/>
        <v>161.16385911179174</v>
      </c>
      <c r="P177" s="46">
        <f t="shared" ca="1" si="120"/>
        <v>88.585858585858588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IFERROR(__xludf.DUMMYFUNCTION("IMPORTRANGE(""https://docs.google.com/spreadsheets/d/1-uDff_7J0KD5mKrp0Vvzr7lt3OU09vwQwhkpOPPYv2Y/edit?usp=sharing"",""งบพรบ!CK88"")"),19590)</f>
        <v>19590</v>
      </c>
      <c r="M179" s="46">
        <f ca="1">IFERROR(__xludf.DUMMYFUNCTION("IMPORTRANGE(""https://docs.google.com/spreadsheets/d/1-uDff_7J0KD5mKrp0Vvzr7lt3OU09vwQwhkpOPPYv2Y/edit?usp=sharing"",""งบพรบ!CP88"")"),35640)</f>
        <v>35640</v>
      </c>
      <c r="N179" s="46">
        <f ca="1">IFERROR(__xludf.DUMMYFUNCTION("IMPORTRANGE(""https://docs.google.com/spreadsheets/d/1-uDff_7J0KD5mKrp0Vvzr7lt3OU09vwQwhkpOPPYv2Y/edit?usp=sharing"",""งบพรบ!CR88"")"),31572)</f>
        <v>31572</v>
      </c>
      <c r="O179" s="46">
        <f t="shared" ca="1" si="119"/>
        <v>161.16385911179174</v>
      </c>
      <c r="P179" s="46">
        <f t="shared" ca="1" si="120"/>
        <v>88.585858585858588</v>
      </c>
      <c r="Q179" s="46">
        <f ca="1">IFERROR(__xludf.DUMMYFUNCTION("IMPORTRANGE(""https://docs.google.com/spreadsheets/d/1ItG2mGa2ceCfYo0BwxsXqNm01IGEUdYcSSLTEv9YCik/edit?usp=sharing"",""เบิกจ่ายกองทุน!BE88"")"),0)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IFERROR(__xludf.DUMMYFUNCTION("IMPORTRANGE(""https://docs.google.com/spreadsheets/d/1ItG2mGa2ceCfYo0BwxsXqNm01IGEUdYcSSLTEv9YCik/edit?usp=sharing"",""เบิกจ่ายกองทุน!BF88"")"),0)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IFERROR(__xludf.DUMMYFUNCTION("IMPORTRANGE(""https://docs.google.com/spreadsheets/d/1ItG2mGa2ceCfYo0BwxsXqNm01IGEUdYcSSLTEv9YCik/edit?usp=sharing"",""เบิกจ่ายกองทุน!BG88"")"),0)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IFERROR(__xludf.DUMMYFUNCTION("IMPORTRANGE(""https://docs.google.com/spreadsheets/d/1-uDff_7J0KD5mKrp0Vvzr7lt3OU09vwQwhkpOPPYv2Y/edit?usp=sharing"",""งบพรบ!CN88"")"),0)</f>
        <v>0</v>
      </c>
      <c r="M182" s="46">
        <f ca="1">IFERROR(__xludf.DUMMYFUNCTION("IMPORTRANGE(""https://docs.google.com/spreadsheets/d/1-uDff_7J0KD5mKrp0Vvzr7lt3OU09vwQwhkpOPPYv2Y/edit?usp=sharing"",""งบพรบ!CQ88"")"),0)</f>
        <v>0</v>
      </c>
      <c r="N182" s="46">
        <f ca="1">IFERROR(__xludf.DUMMYFUNCTION("IMPORTRANGE(""https://docs.google.com/spreadsheets/d/1-uDff_7J0KD5mKrp0Vvzr7lt3OU09vwQwhkpOPPYv2Y/edit?usp=sharing"",""งบพรบ!CS88"")"),0)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IFERROR(__xludf.DUMMYFUNCTION("IMPORTRANGE(""https://docs.google.com/spreadsheets/d/1eHaY18a8A9IcSdp1K8H6x8fbOy06t2VsZHhMHf-1x7Y/edit?usp=sharing"",""แผน!AA88"")"),7)</f>
        <v>7</v>
      </c>
      <c r="J184" s="168">
        <v>7</v>
      </c>
      <c r="K184" s="46">
        <f t="shared" ref="K184:K186" ca="1" si="130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223500</v>
      </c>
      <c r="M187" s="132">
        <f t="shared" ca="1" si="132"/>
        <v>214700</v>
      </c>
      <c r="N187" s="132">
        <f t="shared" ca="1" si="132"/>
        <v>137100.01</v>
      </c>
      <c r="O187" s="132">
        <f t="shared" ref="O187:O195" ca="1" si="133">IF(L187&gt;0,N187*100/L187,0)</f>
        <v>61.342286353467564</v>
      </c>
      <c r="P187" s="132">
        <f t="shared" ref="P187:P195" ca="1" si="134">IF(M187&gt;0,N187*100/M187,0)</f>
        <v>63.856548672566369</v>
      </c>
      <c r="Q187" s="132">
        <f t="shared" ref="Q187:S187" ca="1" si="135">Q188+Q189</f>
        <v>56000</v>
      </c>
      <c r="R187" s="132">
        <f t="shared" ca="1" si="135"/>
        <v>56000</v>
      </c>
      <c r="S187" s="132">
        <f t="shared" ca="1" si="135"/>
        <v>0</v>
      </c>
      <c r="T187" s="132">
        <f t="shared" ref="T187:T195" ca="1" si="136">IF(Q187&gt;0,S187*100/Q187,0)</f>
        <v>0</v>
      </c>
      <c r="U187" s="132">
        <f t="shared" ref="U187:U195" ca="1" si="137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223500</v>
      </c>
      <c r="M189" s="46">
        <f t="shared" ca="1" si="138"/>
        <v>214700</v>
      </c>
      <c r="N189" s="46">
        <f t="shared" ca="1" si="138"/>
        <v>137100.01</v>
      </c>
      <c r="O189" s="46">
        <f t="shared" ca="1" si="133"/>
        <v>61.342286353467564</v>
      </c>
      <c r="P189" s="46">
        <f t="shared" ca="1" si="134"/>
        <v>63.856548672566369</v>
      </c>
      <c r="Q189" s="46">
        <f t="shared" ca="1" si="139"/>
        <v>56000</v>
      </c>
      <c r="R189" s="46">
        <f t="shared" ca="1" si="139"/>
        <v>56000</v>
      </c>
      <c r="S189" s="46">
        <f t="shared" ca="1" si="139"/>
        <v>0</v>
      </c>
      <c r="T189" s="46">
        <f t="shared" ca="1" si="136"/>
        <v>0</v>
      </c>
      <c r="U189" s="46">
        <f t="shared" ca="1" si="137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223500</v>
      </c>
      <c r="M190" s="46">
        <f t="shared" ca="1" si="140"/>
        <v>214700</v>
      </c>
      <c r="N190" s="46">
        <f t="shared" ca="1" si="140"/>
        <v>137100.01</v>
      </c>
      <c r="O190" s="46">
        <f t="shared" ca="1" si="133"/>
        <v>61.342286353467564</v>
      </c>
      <c r="P190" s="46">
        <f t="shared" ca="1" si="134"/>
        <v>63.856548672566369</v>
      </c>
      <c r="Q190" s="46">
        <f t="shared" ref="Q190:S190" ca="1" si="141">Q191+Q192</f>
        <v>56000</v>
      </c>
      <c r="R190" s="46">
        <f t="shared" ca="1" si="141"/>
        <v>56000</v>
      </c>
      <c r="S190" s="46">
        <f t="shared" ca="1" si="141"/>
        <v>0</v>
      </c>
      <c r="T190" s="46">
        <f t="shared" ca="1" si="136"/>
        <v>0</v>
      </c>
      <c r="U190" s="46">
        <f t="shared" ca="1" si="137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IFERROR(__xludf.DUMMYFUNCTION("IMPORTRANGE(""https://docs.google.com/spreadsheets/d/1-uDff_7J0KD5mKrp0Vvzr7lt3OU09vwQwhkpOPPYv2Y/edit?usp=sharing"",""งบพรบ!CU88"")"),223500)</f>
        <v>223500</v>
      </c>
      <c r="M192" s="46">
        <f ca="1">IFERROR(__xludf.DUMMYFUNCTION("IMPORTRANGE(""https://docs.google.com/spreadsheets/d/1-uDff_7J0KD5mKrp0Vvzr7lt3OU09vwQwhkpOPPYv2Y/edit?usp=sharing"",""งบพรบ!CZ88"")"),214700)</f>
        <v>214700</v>
      </c>
      <c r="N192" s="46">
        <f ca="1">IFERROR(__xludf.DUMMYFUNCTION("IMPORTRANGE(""https://docs.google.com/spreadsheets/d/1-uDff_7J0KD5mKrp0Vvzr7lt3OU09vwQwhkpOPPYv2Y/edit?usp=sharing"",""งบพรบ!DB88"")"),137100.01)</f>
        <v>137100.01</v>
      </c>
      <c r="O192" s="46">
        <f t="shared" ca="1" si="133"/>
        <v>61.342286353467564</v>
      </c>
      <c r="P192" s="46">
        <f t="shared" ca="1" si="134"/>
        <v>63.856548672566369</v>
      </c>
      <c r="Q192" s="46">
        <f ca="1">IFERROR(__xludf.DUMMYFUNCTION("IMPORTRANGE(""https://docs.google.com/spreadsheets/d/1ItG2mGa2ceCfYo0BwxsXqNm01IGEUdYcSSLTEv9YCik/edit?usp=sharing"",""เบิกจ่ายกองทุน!AV88"")"),56000)</f>
        <v>56000</v>
      </c>
      <c r="R192" s="46">
        <f ca="1">IFERROR(__xludf.DUMMYFUNCTION("IMPORTRANGE(""https://docs.google.com/spreadsheets/d/1ItG2mGa2ceCfYo0BwxsXqNm01IGEUdYcSSLTEv9YCik/edit?usp=sharing"",""เบิกจ่ายกองทุน!AW88"")"),56000)</f>
        <v>56000</v>
      </c>
      <c r="S192" s="46">
        <f ca="1">IFERROR(__xludf.DUMMYFUNCTION("IMPORTRANGE(""https://docs.google.com/spreadsheets/d/1ItG2mGa2ceCfYo0BwxsXqNm01IGEUdYcSSLTEv9YCik/edit?usp=sharing"",""เบิกจ่ายกองทุน!AX88"")"),0)</f>
        <v>0</v>
      </c>
      <c r="T192" s="46">
        <f t="shared" ca="1" si="136"/>
        <v>0</v>
      </c>
      <c r="U192" s="46">
        <f t="shared" ca="1" si="137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IFERROR(__xludf.DUMMYFUNCTION("IMPORTRANGE(""https://docs.google.com/spreadsheets/d/1-uDff_7J0KD5mKrp0Vvzr7lt3OU09vwQwhkpOPPYv2Y/edit?usp=sharing"",""งบพรบ!CX88"")"),0)</f>
        <v>0</v>
      </c>
      <c r="M195" s="46">
        <f ca="1">IFERROR(__xludf.DUMMYFUNCTION("IMPORTRANGE(""https://docs.google.com/spreadsheets/d/1-uDff_7J0KD5mKrp0Vvzr7lt3OU09vwQwhkpOPPYv2Y/edit?usp=sharing"",""งบพรบ!DA88"")"),0)</f>
        <v>0</v>
      </c>
      <c r="N195" s="46">
        <f ca="1">IFERROR(__xludf.DUMMYFUNCTION("IMPORTRANGE(""https://docs.google.com/spreadsheets/d/1-uDff_7J0KD5mKrp0Vvzr7lt3OU09vwQwhkpOPPYv2Y/edit?usp=sharing"",""งบพรบ!DC88"")"),0)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IFERROR(__xludf.DUMMYFUNCTION("IMPORTRANGE(""https://docs.google.com/spreadsheets/d/1eHaY18a8A9IcSdp1K8H6x8fbOy06t2VsZHhMHf-1x7Y/edit?usp=sharing"",""แผน!AB88"")"),6000)</f>
        <v>6000</v>
      </c>
      <c r="M197" s="45"/>
      <c r="N197" s="564">
        <v>1200</v>
      </c>
      <c r="O197" s="132">
        <f ca="1">IF(L197&gt;0,N197*100/L197,0)</f>
        <v>20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IFERROR(__xludf.DUMMYFUNCTION("IMPORTRANGE(""https://docs.google.com/spreadsheets/d/1eHaY18a8A9IcSdp1K8H6x8fbOy06t2VsZHhMHf-1x7Y/edit?usp=sharing"",""แผน!AE88"")"),4)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0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0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4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15000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IFERROR(__xludf.DUMMYFUNCTION("IMPORTRANGE(""https://docs.google.com/spreadsheets/d/1eHaY18a8A9IcSdp1K8H6x8fbOy06t2VsZHhMHf-1x7Y/edit?usp=sharing"",""แผน!AG88"")"),2000)</f>
        <v>2000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IFERROR(__xludf.DUMMYFUNCTION("IMPORTRANGE(""https://docs.google.com/spreadsheets/d/1eHaY18a8A9IcSdp1K8H6x8fbOy06t2VsZHhMHf-1x7Y/edit?usp=sharing"",""แผน!AH88"")"),0)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IFERROR(__xludf.DUMMYFUNCTION("IMPORTRANGE(""https://docs.google.com/spreadsheets/d/1eHaY18a8A9IcSdp1K8H6x8fbOy06t2VsZHhMHf-1x7Y/edit?usp=sharing"",""แผน!AI88"")"),0)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IFERROR(__xludf.DUMMYFUNCTION("IMPORTRANGE(""https://docs.google.com/spreadsheets/d/1eHaY18a8A9IcSdp1K8H6x8fbOy06t2VsZHhMHf-1x7Y/edit?usp=sharing"",""แผน!AJ88"")"),13000)</f>
        <v>13000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IFERROR(__xludf.DUMMYFUNCTION("IMPORTRANGE(""https://docs.google.com/spreadsheets/d/1eHaY18a8A9IcSdp1K8H6x8fbOy06t2VsZHhMHf-1x7Y/edit?usp=sharing"",""แผน!AK88"")"),4)</f>
        <v>4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IFERROR(__xludf.DUMMYFUNCTION("IMPORTRANGE(""https://docs.google.com/spreadsheets/d/1eHaY18a8A9IcSdp1K8H6x8fbOy06t2VsZHhMHf-1x7Y/edit?usp=sharing"",""แผน!JX88"")"),2)</f>
        <v>2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IFERROR(__xludf.DUMMYFUNCTION("IMPORTRANGE(""https://docs.google.com/spreadsheets/d/1eHaY18a8A9IcSdp1K8H6x8fbOy06t2VsZHhMHf-1x7Y/edit?usp=sharing"",""แผน!JY88"")"),1)</f>
        <v>1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0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IFERROR(__xludf.DUMMYFUNCTION("IMPORTRANGE(""https://docs.google.com/spreadsheets/d/1eHaY18a8A9IcSdp1K8H6x8fbOy06t2VsZHhMHf-1x7Y/edit?usp=sharing"",""แผน!AM88"")"),0)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IFERROR(__xludf.DUMMYFUNCTION("IMPORTRANGE(""https://docs.google.com/spreadsheets/d/1eHaY18a8A9IcSdp1K8H6x8fbOy06t2VsZHhMHf-1x7Y/edit?usp=sharing"",""แผน!AN88"")"),0)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IFERROR(__xludf.DUMMYFUNCTION("IMPORTRANGE(""https://docs.google.com/spreadsheets/d/1eHaY18a8A9IcSdp1K8H6x8fbOy06t2VsZHhMHf-1x7Y/edit?usp=sharing"",""แผน!AO88"")"),0)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IFERROR(__xludf.DUMMYFUNCTION("IMPORTRANGE(""https://docs.google.com/spreadsheets/d/1eHaY18a8A9IcSdp1K8H6x8fbOy06t2VsZHhMHf-1x7Y/edit?usp=sharing"",""แผน!AP88"")"),0)</f>
        <v>0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10000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IFERROR(__xludf.DUMMYFUNCTION("IMPORTRANGE(""https://docs.google.com/spreadsheets/d/1eHaY18a8A9IcSdp1K8H6x8fbOy06t2VsZHhMHf-1x7Y/edit?usp=sharing"",""แผน!AR88"")"),2500)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IFERROR(__xludf.DUMMYFUNCTION("IMPORTRANGE(""https://docs.google.com/spreadsheets/d/1eHaY18a8A9IcSdp1K8H6x8fbOy06t2VsZHhMHf-1x7Y/edit?usp=sharing"",""แผน!AS88"")"),2000)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IFERROR(__xludf.DUMMYFUNCTION("IMPORTRANGE(""https://docs.google.com/spreadsheets/d/1eHaY18a8A9IcSdp1K8H6x8fbOy06t2VsZHhMHf-1x7Y/edit?usp=sharing"",""แผน!AT88"")"),0)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IFERROR(__xludf.DUMMYFUNCTION("IMPORTRANGE(""https://docs.google.com/spreadsheets/d/1eHaY18a8A9IcSdp1K8H6x8fbOy06t2VsZHhMHf-1x7Y/edit?usp=sharing"",""แผน!AV88"")"),10000)</f>
        <v>10000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IFERROR(__xludf.DUMMYFUNCTION("IMPORTRANGE(""https://docs.google.com/spreadsheets/d/1eHaY18a8A9IcSdp1K8H6x8fbOy06t2VsZHhMHf-1x7Y/edit?usp=sharing"",""แผน!AU88"")"),0)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229"/>
      <c r="B232" s="230"/>
      <c r="C232" s="231" t="s">
        <v>105</v>
      </c>
      <c r="D232" s="232"/>
      <c r="E232" s="232"/>
      <c r="F232" s="232"/>
      <c r="G232" s="233"/>
      <c r="H232" s="234" t="s">
        <v>35</v>
      </c>
      <c r="I232" s="235">
        <f t="shared" ref="I232:J232" ca="1" si="151">I243+I254</f>
        <v>0</v>
      </c>
      <c r="J232" s="235">
        <f t="shared" si="151"/>
        <v>0</v>
      </c>
      <c r="K232" s="236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128"/>
      <c r="B233" s="199"/>
      <c r="C233" s="198" t="s">
        <v>18</v>
      </c>
      <c r="D233" s="544" t="s">
        <v>19</v>
      </c>
      <c r="E233" s="199"/>
      <c r="F233" s="199"/>
      <c r="G233" s="42"/>
      <c r="H233" s="239" t="s">
        <v>14</v>
      </c>
      <c r="I233" s="135"/>
      <c r="J233" s="135"/>
      <c r="K233" s="136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128"/>
      <c r="B234" s="159"/>
      <c r="C234" s="199"/>
      <c r="D234" s="270" t="s">
        <v>86</v>
      </c>
      <c r="E234" s="199"/>
      <c r="F234" s="199"/>
      <c r="G234" s="42"/>
      <c r="H234" s="134" t="s">
        <v>14</v>
      </c>
      <c r="I234" s="135"/>
      <c r="J234" s="135"/>
      <c r="K234" s="136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224"/>
      <c r="B235" s="159"/>
      <c r="C235" s="159"/>
      <c r="D235" s="270" t="s">
        <v>88</v>
      </c>
      <c r="E235" s="199"/>
      <c r="F235" s="199"/>
      <c r="G235" s="42"/>
      <c r="H235" s="134" t="s">
        <v>14</v>
      </c>
      <c r="I235" s="44"/>
      <c r="J235" s="44"/>
      <c r="K235" s="45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224"/>
      <c r="B236" s="159"/>
      <c r="C236" s="159"/>
      <c r="D236" s="270" t="s">
        <v>106</v>
      </c>
      <c r="E236" s="199"/>
      <c r="F236" s="199"/>
      <c r="G236" s="42"/>
      <c r="H236" s="134" t="s">
        <v>14</v>
      </c>
      <c r="I236" s="44"/>
      <c r="J236" s="44"/>
      <c r="K236" s="45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224"/>
      <c r="B237" s="159"/>
      <c r="C237" s="159"/>
      <c r="D237" s="270" t="s">
        <v>107</v>
      </c>
      <c r="E237" s="199"/>
      <c r="F237" s="199"/>
      <c r="G237" s="42"/>
      <c r="H237" s="134" t="s">
        <v>14</v>
      </c>
      <c r="I237" s="44"/>
      <c r="J237" s="44"/>
      <c r="K237" s="45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138"/>
      <c r="B238" s="139"/>
      <c r="C238" s="351" t="s">
        <v>18</v>
      </c>
      <c r="D238" s="546" t="s">
        <v>38</v>
      </c>
      <c r="E238" s="141"/>
      <c r="F238" s="141"/>
      <c r="G238" s="142"/>
      <c r="H238" s="143"/>
      <c r="I238" s="135"/>
      <c r="J238" s="44"/>
      <c r="K238" s="45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138"/>
      <c r="B239" s="139"/>
      <c r="C239" s="139"/>
      <c r="D239" s="167" t="s">
        <v>108</v>
      </c>
      <c r="E239" s="169"/>
      <c r="F239" s="169"/>
      <c r="G239" s="143"/>
      <c r="H239" s="247" t="s">
        <v>35</v>
      </c>
      <c r="I239" s="152">
        <f t="shared" ref="I239:J239" ca="1" si="154">I250+I261</f>
        <v>0</v>
      </c>
      <c r="J239" s="152">
        <f t="shared" si="154"/>
        <v>0</v>
      </c>
      <c r="K239" s="46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138"/>
      <c r="B240" s="139"/>
      <c r="C240" s="139"/>
      <c r="D240" s="256" t="s">
        <v>43</v>
      </c>
      <c r="E240" s="169"/>
      <c r="F240" s="169"/>
      <c r="G240" s="143"/>
      <c r="H240" s="143"/>
      <c r="I240" s="44"/>
      <c r="J240" s="44"/>
      <c r="K240" s="45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33" t="s">
        <v>109</v>
      </c>
      <c r="F241" s="169"/>
      <c r="G241" s="143"/>
      <c r="H241" s="247" t="s">
        <v>35</v>
      </c>
      <c r="I241" s="152">
        <f t="shared" ref="I241:J242" si="155">I252+I263</f>
        <v>0</v>
      </c>
      <c r="J241" s="152">
        <f t="shared" si="155"/>
        <v>0</v>
      </c>
      <c r="K241" s="46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138"/>
      <c r="B242" s="139"/>
      <c r="C242" s="139"/>
      <c r="D242" s="139"/>
      <c r="E242" s="333" t="s">
        <v>110</v>
      </c>
      <c r="F242" s="169"/>
      <c r="G242" s="143"/>
      <c r="H242" s="247" t="s">
        <v>61</v>
      </c>
      <c r="I242" s="152">
        <f t="shared" si="155"/>
        <v>0</v>
      </c>
      <c r="J242" s="152">
        <f t="shared" si="155"/>
        <v>0</v>
      </c>
      <c r="K242" s="46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IFERROR(__xludf.DUMMYFUNCTION("IMPORTRANGE(""https://docs.google.com/spreadsheets/d/1eHaY18a8A9IcSdp1K8H6x8fbOy06t2VsZHhMHf-1x7Y/edit?usp=sharing"",""แผน!AX88"")"),0)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IFERROR(__xludf.DUMMYFUNCTION("IMPORTRANGE(""https://docs.google.com/spreadsheets/d/1eHaY18a8A9IcSdp1K8H6x8fbOy06t2VsZHhMHf-1x7Y/edit?usp=sharing"",""แผน!AY88"")"),0)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IFERROR(__xludf.DUMMYFUNCTION("IMPORTRANGE(""https://docs.google.com/spreadsheets/d/1eHaY18a8A9IcSdp1K8H6x8fbOy06t2VsZHhMHf-1x7Y/edit?usp=sharing"",""แผน!AZ88"")"),0)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IFERROR(__xludf.DUMMYFUNCTION("IMPORTRANGE(""https://docs.google.com/spreadsheets/d/1eHaY18a8A9IcSdp1K8H6x8fbOy06t2VsZHhMHf-1x7Y/edit?usp=sharing"",""แผน!BA88"")"),0)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IFERROR(__xludf.DUMMYFUNCTION("IMPORTRANGE(""https://docs.google.com/spreadsheets/d/1eHaY18a8A9IcSdp1K8H6x8fbOy06t2VsZHhMHf-1x7Y/edit?usp=sharing"",""แผน!BG88"")"),0)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IFERROR(__xludf.DUMMYFUNCTION("IMPORTRANGE(""https://docs.google.com/spreadsheets/d/1eHaY18a8A9IcSdp1K8H6x8fbOy06t2VsZHhMHf-1x7Y/edit?usp=sharing"",""แผน!BB88"")"),0)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IFERROR(__xludf.DUMMYFUNCTION("IMPORTRANGE(""https://docs.google.com/spreadsheets/d/1eHaY18a8A9IcSdp1K8H6x8fbOy06t2VsZHhMHf-1x7Y/edit?usp=sharing"",""แผน!BC88"")"),0)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IFERROR(__xludf.DUMMYFUNCTION("IMPORTRANGE(""https://docs.google.com/spreadsheets/d/1eHaY18a8A9IcSdp1K8H6x8fbOy06t2VsZHhMHf-1x7Y/edit?usp=sharing"",""แผน!BD88"")"),0)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IFERROR(__xludf.DUMMYFUNCTION("IMPORTRANGE(""https://docs.google.com/spreadsheets/d/1eHaY18a8A9IcSdp1K8H6x8fbOy06t2VsZHhMHf-1x7Y/edit?usp=sharing"",""แผน!BE88"")"),0)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IFERROR(__xludf.DUMMYFUNCTION("IMPORTRANGE(""https://docs.google.com/spreadsheets/d/1eHaY18a8A9IcSdp1K8H6x8fbOy06t2VsZHhMHf-1x7Y/edit?usp=sharing"",""แผน!BH88"")"),0)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22</v>
      </c>
      <c r="J266" s="613">
        <f t="shared" si="161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2">L268+L269</f>
        <v>0</v>
      </c>
      <c r="M267" s="626">
        <f t="shared" ca="1" si="162"/>
        <v>5000</v>
      </c>
      <c r="N267" s="626">
        <f t="shared" ca="1" si="162"/>
        <v>5000</v>
      </c>
      <c r="O267" s="626">
        <f t="shared" ref="O267:O275" ca="1" si="163">IF(L267&gt;0,N267*100/L267,0)</f>
        <v>0</v>
      </c>
      <c r="P267" s="626">
        <f t="shared" ref="P267:P275" ca="1" si="164">IF(M267&gt;0,N267*100/M267,0)</f>
        <v>100</v>
      </c>
      <c r="Q267" s="626">
        <f t="shared" ref="Q267:S267" ca="1" si="165">Q268+Q269</f>
        <v>50660</v>
      </c>
      <c r="R267" s="626">
        <f t="shared" ca="1" si="165"/>
        <v>50660</v>
      </c>
      <c r="S267" s="626">
        <f t="shared" ca="1" si="165"/>
        <v>0</v>
      </c>
      <c r="T267" s="626">
        <f t="shared" ref="T267:T275" ca="1" si="166">IF(Q267&gt;0,S267*100/Q267,0)</f>
        <v>0</v>
      </c>
      <c r="U267" s="626">
        <f t="shared" ref="U267:U275" ca="1" si="167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8"/>
        <v>0</v>
      </c>
      <c r="M269" s="630">
        <f t="shared" ca="1" si="168"/>
        <v>5000</v>
      </c>
      <c r="N269" s="630">
        <f t="shared" ca="1" si="168"/>
        <v>5000</v>
      </c>
      <c r="O269" s="630">
        <f t="shared" ca="1" si="163"/>
        <v>0</v>
      </c>
      <c r="P269" s="630">
        <f t="shared" ca="1" si="164"/>
        <v>100</v>
      </c>
      <c r="Q269" s="630">
        <f t="shared" ca="1" si="169"/>
        <v>50660</v>
      </c>
      <c r="R269" s="630">
        <f t="shared" ca="1" si="169"/>
        <v>50660</v>
      </c>
      <c r="S269" s="630">
        <f t="shared" ca="1" si="169"/>
        <v>0</v>
      </c>
      <c r="T269" s="630">
        <f t="shared" ca="1" si="166"/>
        <v>0</v>
      </c>
      <c r="U269" s="630">
        <f t="shared" ca="1" si="167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70">L271+L272</f>
        <v>0</v>
      </c>
      <c r="M270" s="630">
        <f t="shared" ca="1" si="170"/>
        <v>5000</v>
      </c>
      <c r="N270" s="630">
        <f t="shared" ca="1" si="170"/>
        <v>5000</v>
      </c>
      <c r="O270" s="630">
        <f t="shared" ca="1" si="163"/>
        <v>0</v>
      </c>
      <c r="P270" s="630">
        <f t="shared" ca="1" si="164"/>
        <v>100</v>
      </c>
      <c r="Q270" s="630">
        <f t="shared" ref="Q270:S270" ca="1" si="171">Q271+Q272</f>
        <v>50660</v>
      </c>
      <c r="R270" s="630">
        <f t="shared" ca="1" si="171"/>
        <v>50660</v>
      </c>
      <c r="S270" s="630">
        <f t="shared" ca="1" si="171"/>
        <v>0</v>
      </c>
      <c r="T270" s="630">
        <f t="shared" ca="1" si="166"/>
        <v>0</v>
      </c>
      <c r="U270" s="630">
        <f t="shared" ca="1" si="167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IFERROR(__xludf.DUMMYFUNCTION("IMPORTRANGE(""https://docs.google.com/spreadsheets/d/1-uDff_7J0KD5mKrp0Vvzr7lt3OU09vwQwhkpOPPYv2Y/edit?usp=sharing"",""งบพรบ!DE88"")"),0)</f>
        <v>0</v>
      </c>
      <c r="M272" s="630">
        <f ca="1">IFERROR(__xludf.DUMMYFUNCTION("IMPORTRANGE(""https://docs.google.com/spreadsheets/d/1-uDff_7J0KD5mKrp0Vvzr7lt3OU09vwQwhkpOPPYv2Y/edit?usp=sharing"",""งบพรบ!DJ88"")"),5000)</f>
        <v>5000</v>
      </c>
      <c r="N272" s="630">
        <f ca="1">IFERROR(__xludf.DUMMYFUNCTION("IMPORTRANGE(""https://docs.google.com/spreadsheets/d/1-uDff_7J0KD5mKrp0Vvzr7lt3OU09vwQwhkpOPPYv2Y/edit?usp=sharing"",""งบพรบ!DL88"")"),5000)</f>
        <v>5000</v>
      </c>
      <c r="O272" s="630">
        <f t="shared" ca="1" si="163"/>
        <v>0</v>
      </c>
      <c r="P272" s="630">
        <f t="shared" ca="1" si="164"/>
        <v>100</v>
      </c>
      <c r="Q272" s="630">
        <f ca="1">IFERROR(__xludf.DUMMYFUNCTION("IMPORTRANGE(""https://docs.google.com/spreadsheets/d/1ItG2mGa2ceCfYo0BwxsXqNm01IGEUdYcSSLTEv9YCik/edit?usp=sharing"",""เบิกจ่ายกองทุน!AJ88"")"),50660)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IFERROR(__xludf.DUMMYFUNCTION("IMPORTRANGE(""https://docs.google.com/spreadsheets/d/1ItG2mGa2ceCfYo0BwxsXqNm01IGEUdYcSSLTEv9YCik/edit?usp=sharing"",""เบิกจ่ายกองทุน!AK88"")"),50660)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IFERROR(__xludf.DUMMYFUNCTION("IMPORTRANGE(""https://docs.google.com/spreadsheets/d/1ItG2mGa2ceCfYo0BwxsXqNm01IGEUdYcSSLTEv9YCik/edit?usp=sharing"",""เบิกจ่ายกองทุน!AL88"")"),0)</f>
        <v>0</v>
      </c>
      <c r="T272" s="630">
        <f t="shared" ca="1" si="166"/>
        <v>0</v>
      </c>
      <c r="U272" s="630">
        <f t="shared" ca="1" si="167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2">L274+L275</f>
        <v>0</v>
      </c>
      <c r="M273" s="630">
        <f t="shared" ca="1" si="172"/>
        <v>0</v>
      </c>
      <c r="N273" s="630">
        <f t="shared" ca="1" si="172"/>
        <v>0</v>
      </c>
      <c r="O273" s="630">
        <f t="shared" ca="1" si="163"/>
        <v>0</v>
      </c>
      <c r="P273" s="630">
        <f t="shared" ca="1" si="164"/>
        <v>0</v>
      </c>
      <c r="Q273" s="630">
        <f t="shared" ref="Q273:S273" si="173">Q274+Q275</f>
        <v>0</v>
      </c>
      <c r="R273" s="630">
        <f t="shared" si="173"/>
        <v>0</v>
      </c>
      <c r="S273" s="630">
        <f t="shared" si="173"/>
        <v>0</v>
      </c>
      <c r="T273" s="630">
        <f t="shared" si="166"/>
        <v>0</v>
      </c>
      <c r="U273" s="630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IFERROR(__xludf.DUMMYFUNCTION("IMPORTRANGE(""https://docs.google.com/spreadsheets/d/1-uDff_7J0KD5mKrp0Vvzr7lt3OU09vwQwhkpOPPYv2Y/edit?usp=sharing"",""งบพรบ!DH88"")"),0)</f>
        <v>0</v>
      </c>
      <c r="M275" s="630">
        <f ca="1">IFERROR(__xludf.DUMMYFUNCTION("IMPORTRANGE(""https://docs.google.com/spreadsheets/d/1-uDff_7J0KD5mKrp0Vvzr7lt3OU09vwQwhkpOPPYv2Y/edit?usp=sharing"",""งบพรบ!DK88"")"),0)</f>
        <v>0</v>
      </c>
      <c r="N275" s="630">
        <f ca="1">IFERROR(__xludf.DUMMYFUNCTION("IMPORTRANGE(""https://docs.google.com/spreadsheets/d/1-uDff_7J0KD5mKrp0Vvzr7lt3OU09vwQwhkpOPPYv2Y/edit?usp=sharing"",""งบพรบ!DM88"")"),0)</f>
        <v>0</v>
      </c>
      <c r="O275" s="630">
        <f t="shared" ca="1" si="163"/>
        <v>0</v>
      </c>
      <c r="P275" s="630">
        <f t="shared" ca="1" si="164"/>
        <v>0</v>
      </c>
      <c r="Q275" s="630">
        <v>0</v>
      </c>
      <c r="R275" s="630">
        <v>0</v>
      </c>
      <c r="S275" s="630">
        <v>0</v>
      </c>
      <c r="T275" s="630">
        <f t="shared" si="166"/>
        <v>0</v>
      </c>
      <c r="U275" s="630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IFERROR(__xludf.DUMMYFUNCTION("IMPORTRANGE(""https://docs.google.com/spreadsheets/d/1eHaY18a8A9IcSdp1K8H6x8fbOy06t2VsZHhMHf-1x7Y/edit?usp=sharing"",""แผน!EC88"")"),22)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10</v>
      </c>
      <c r="J281" s="298">
        <f t="shared" si="174"/>
        <v>10</v>
      </c>
      <c r="K281" s="299">
        <f t="shared" ref="K281:K282" ca="1" si="175">IF(I281&gt;0,J281*100/I281,0)</f>
        <v>100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100</v>
      </c>
      <c r="J282" s="298">
        <f t="shared" si="176"/>
        <v>100</v>
      </c>
      <c r="K282" s="299">
        <f t="shared" ca="1" si="175"/>
        <v>100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292520</v>
      </c>
      <c r="M283" s="132">
        <f t="shared" ca="1" si="177"/>
        <v>292520</v>
      </c>
      <c r="N283" s="132">
        <f t="shared" ca="1" si="177"/>
        <v>261304.83</v>
      </c>
      <c r="O283" s="132">
        <f t="shared" ref="O283:O291" ca="1" si="178">IF(L283&gt;0,N283*100/L283,0)</f>
        <v>89.328876658006294</v>
      </c>
      <c r="P283" s="132">
        <f t="shared" ref="P283:P291" ca="1" si="179">IF(M283&gt;0,N283*100/M283,0)</f>
        <v>89.328876658006294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292520</v>
      </c>
      <c r="M285" s="46">
        <f t="shared" ca="1" si="183"/>
        <v>292520</v>
      </c>
      <c r="N285" s="46">
        <f t="shared" ca="1" si="183"/>
        <v>261304.83</v>
      </c>
      <c r="O285" s="46">
        <f t="shared" ca="1" si="178"/>
        <v>89.328876658006294</v>
      </c>
      <c r="P285" s="46">
        <f t="shared" ca="1" si="179"/>
        <v>89.328876658006294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292520</v>
      </c>
      <c r="M286" s="46">
        <f t="shared" ca="1" si="185"/>
        <v>292520</v>
      </c>
      <c r="N286" s="46">
        <f t="shared" ca="1" si="185"/>
        <v>261304.83</v>
      </c>
      <c r="O286" s="46">
        <f t="shared" ca="1" si="178"/>
        <v>89.328876658006294</v>
      </c>
      <c r="P286" s="46">
        <f t="shared" ca="1" si="179"/>
        <v>89.328876658006294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IFERROR(__xludf.DUMMYFUNCTION("IMPORTRANGE(""https://docs.google.com/spreadsheets/d/1-uDff_7J0KD5mKrp0Vvzr7lt3OU09vwQwhkpOPPYv2Y/edit?usp=sharing"",""งบพรบ!DO88"")"),292520)</f>
        <v>292520</v>
      </c>
      <c r="M288" s="46">
        <f ca="1">IFERROR(__xludf.DUMMYFUNCTION("IMPORTRANGE(""https://docs.google.com/spreadsheets/d/1-uDff_7J0KD5mKrp0Vvzr7lt3OU09vwQwhkpOPPYv2Y/edit?usp=sharing"",""งบพรบ!DT88"")"),292520)</f>
        <v>292520</v>
      </c>
      <c r="N288" s="46">
        <f ca="1">IFERROR(__xludf.DUMMYFUNCTION("IMPORTRANGE(""https://docs.google.com/spreadsheets/d/1-uDff_7J0KD5mKrp0Vvzr7lt3OU09vwQwhkpOPPYv2Y/edit?usp=sharing"",""งบพรบ!DV88"")"),261304.83)</f>
        <v>261304.83</v>
      </c>
      <c r="O288" s="46">
        <f t="shared" ca="1" si="178"/>
        <v>89.328876658006294</v>
      </c>
      <c r="P288" s="46">
        <f t="shared" ca="1" si="179"/>
        <v>89.328876658006294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IFERROR(__xludf.DUMMYFUNCTION("IMPORTRANGE(""https://docs.google.com/spreadsheets/d/1-uDff_7J0KD5mKrp0Vvzr7lt3OU09vwQwhkpOPPYv2Y/edit?usp=sharing"",""งบพรบ!DR88"")"),0)</f>
        <v>0</v>
      </c>
      <c r="M291" s="46">
        <f ca="1">IFERROR(__xludf.DUMMYFUNCTION("IMPORTRANGE(""https://docs.google.com/spreadsheets/d/1-uDff_7J0KD5mKrp0Vvzr7lt3OU09vwQwhkpOPPYv2Y/edit?usp=sharing"",""งบพรบ!DU88"")"),0)</f>
        <v>0</v>
      </c>
      <c r="N291" s="46">
        <f ca="1">IFERROR(__xludf.DUMMYFUNCTION("IMPORTRANGE(""https://docs.google.com/spreadsheets/d/1-uDff_7J0KD5mKrp0Vvzr7lt3OU09vwQwhkpOPPYv2Y/edit?usp=sharing"",""งบพรบ!DW88"")"),0)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IFERROR(__xludf.DUMMYFUNCTION("IMPORTRANGE(""https://docs.google.com/spreadsheets/d/1eHaY18a8A9IcSdp1K8H6x8fbOy06t2VsZHhMHf-1x7Y/edit?usp=sharing"",""แผน!EE88"")"),100)</f>
        <v>100</v>
      </c>
      <c r="J293" s="168">
        <v>100</v>
      </c>
      <c r="K293" s="153">
        <f t="shared" ref="K293:K294" ca="1" si="189">IF(I293&gt;0,J293*100/I293,0)</f>
        <v>100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IFERROR(__xludf.DUMMYFUNCTION("IMPORTRANGE(""https://docs.google.com/spreadsheets/d/1eHaY18a8A9IcSdp1K8H6x8fbOy06t2VsZHhMHf-1x7Y/edit?usp=sharing"",""แผน!ED88"")"),10)</f>
        <v>10</v>
      </c>
      <c r="J294" s="147">
        <f>J297</f>
        <v>10</v>
      </c>
      <c r="K294" s="148">
        <f t="shared" ca="1" si="189"/>
        <v>100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8">
        <v>10</v>
      </c>
      <c r="K296" s="153">
        <f t="shared" ref="K296:K297" ca="1" si="190">IF(I296&gt;0,J296*100/I296,0)</f>
        <v>100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IFERROR(__xludf.DUMMYFUNCTION("IMPORTRANGE(""https://docs.google.com/spreadsheets/d/1eHaY18a8A9IcSdp1K8H6x8fbOy06t2VsZHhMHf-1x7Y/edit?usp=sharing"",""แผน!ED88"")"),10)</f>
        <v>10</v>
      </c>
      <c r="J297" s="168">
        <v>10</v>
      </c>
      <c r="K297" s="153">
        <f t="shared" ca="1" si="190"/>
        <v>100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20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184600</v>
      </c>
      <c r="M304" s="132">
        <f t="shared" ca="1" si="192"/>
        <v>184600</v>
      </c>
      <c r="N304" s="132">
        <f t="shared" ca="1" si="192"/>
        <v>123041.66</v>
      </c>
      <c r="O304" s="132">
        <f t="shared" ref="O304:O312" ca="1" si="193">IF(L304&gt;0,N304*100/L304,0)</f>
        <v>66.653120260021666</v>
      </c>
      <c r="P304" s="132">
        <f t="shared" ref="P304:P312" ca="1" si="194">IF(M304&gt;0,N304*100/M304,0)</f>
        <v>66.653120260021666</v>
      </c>
      <c r="Q304" s="132">
        <f t="shared" ref="Q304:S304" ca="1" si="195">Q305+Q306</f>
        <v>144609.24</v>
      </c>
      <c r="R304" s="132">
        <f t="shared" ca="1" si="195"/>
        <v>144609</v>
      </c>
      <c r="S304" s="132">
        <f t="shared" ca="1" si="195"/>
        <v>450</v>
      </c>
      <c r="T304" s="132">
        <f t="shared" ref="T304:T312" ca="1" si="196">IF(Q304&gt;0,S304*100/Q304,0)</f>
        <v>0.31118343475147231</v>
      </c>
      <c r="U304" s="132">
        <f t="shared" ref="U304:U312" ca="1" si="197">IF(R304&gt;0,S304*100/R304,0)</f>
        <v>0.31118395120635645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184600</v>
      </c>
      <c r="M306" s="46">
        <f t="shared" ca="1" si="198"/>
        <v>184600</v>
      </c>
      <c r="N306" s="46">
        <f t="shared" ca="1" si="198"/>
        <v>123041.66</v>
      </c>
      <c r="O306" s="46">
        <f t="shared" ca="1" si="193"/>
        <v>66.653120260021666</v>
      </c>
      <c r="P306" s="46">
        <f t="shared" ca="1" si="194"/>
        <v>66.653120260021666</v>
      </c>
      <c r="Q306" s="46">
        <f t="shared" ca="1" si="199"/>
        <v>144609.24</v>
      </c>
      <c r="R306" s="46">
        <f t="shared" ca="1" si="199"/>
        <v>144609</v>
      </c>
      <c r="S306" s="46">
        <f t="shared" ca="1" si="199"/>
        <v>450</v>
      </c>
      <c r="T306" s="46">
        <f t="shared" ca="1" si="196"/>
        <v>0.31118343475147231</v>
      </c>
      <c r="U306" s="46">
        <f t="shared" ca="1" si="197"/>
        <v>0.31118395120635645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184600</v>
      </c>
      <c r="M307" s="46">
        <f t="shared" ca="1" si="200"/>
        <v>184600</v>
      </c>
      <c r="N307" s="46">
        <f t="shared" ca="1" si="200"/>
        <v>123041.66</v>
      </c>
      <c r="O307" s="46">
        <f t="shared" ca="1" si="193"/>
        <v>66.653120260021666</v>
      </c>
      <c r="P307" s="46">
        <f t="shared" ca="1" si="194"/>
        <v>66.653120260021666</v>
      </c>
      <c r="Q307" s="46">
        <f t="shared" ref="Q307:S307" ca="1" si="201">Q308+Q309</f>
        <v>144609.24</v>
      </c>
      <c r="R307" s="46">
        <f t="shared" ca="1" si="201"/>
        <v>144609</v>
      </c>
      <c r="S307" s="46">
        <f t="shared" ca="1" si="201"/>
        <v>450</v>
      </c>
      <c r="T307" s="46">
        <f t="shared" ca="1" si="196"/>
        <v>0.31118343475147231</v>
      </c>
      <c r="U307" s="46">
        <f t="shared" ca="1" si="197"/>
        <v>0.31118395120635645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IFERROR(__xludf.DUMMYFUNCTION("IMPORTRANGE(""https://docs.google.com/spreadsheets/d/1-uDff_7J0KD5mKrp0Vvzr7lt3OU09vwQwhkpOPPYv2Y/edit?usp=sharing"",""งบพรบ!DY88"")"),184600)</f>
        <v>184600</v>
      </c>
      <c r="M309" s="46">
        <f ca="1">IFERROR(__xludf.DUMMYFUNCTION("IMPORTRANGE(""https://docs.google.com/spreadsheets/d/1-uDff_7J0KD5mKrp0Vvzr7lt3OU09vwQwhkpOPPYv2Y/edit?usp=sharing"",""งบพรบ!ED88"")"),184600)</f>
        <v>184600</v>
      </c>
      <c r="N309" s="46">
        <f ca="1">IFERROR(__xludf.DUMMYFUNCTION("IMPORTRANGE(""https://docs.google.com/spreadsheets/d/1-uDff_7J0KD5mKrp0Vvzr7lt3OU09vwQwhkpOPPYv2Y/edit?usp=sharing"",""งบพรบ!EF88"")"),123041.66)</f>
        <v>123041.66</v>
      </c>
      <c r="O309" s="46">
        <f t="shared" ca="1" si="193"/>
        <v>66.653120260021666</v>
      </c>
      <c r="P309" s="46">
        <f t="shared" ca="1" si="194"/>
        <v>66.653120260021666</v>
      </c>
      <c r="Q309" s="46">
        <f ca="1">IFERROR(__xludf.DUMMYFUNCTION("IMPORTRANGE(""https://docs.google.com/spreadsheets/d/1ItG2mGa2ceCfYo0BwxsXqNm01IGEUdYcSSLTEv9YCik/edit?usp=sharing"",""เบิกจ่ายกองทุน!AP88"")"),144609.24)</f>
        <v>144609.24</v>
      </c>
      <c r="R309" s="46">
        <f ca="1">IFERROR(__xludf.DUMMYFUNCTION("IMPORTRANGE(""https://docs.google.com/spreadsheets/d/1ItG2mGa2ceCfYo0BwxsXqNm01IGEUdYcSSLTEv9YCik/edit?usp=sharing"",""เบิกจ่ายกองทุน!AQ88"")"),144609)</f>
        <v>144609</v>
      </c>
      <c r="S309" s="46">
        <f ca="1">IFERROR(__xludf.DUMMYFUNCTION("IMPORTRANGE(""https://docs.google.com/spreadsheets/d/1ItG2mGa2ceCfYo0BwxsXqNm01IGEUdYcSSLTEv9YCik/edit?usp=sharing"",""เบิกจ่ายกองทุน!AR88"")"),450)</f>
        <v>450</v>
      </c>
      <c r="T309" s="46">
        <f t="shared" ca="1" si="196"/>
        <v>0.31118343475147231</v>
      </c>
      <c r="U309" s="46">
        <f t="shared" ca="1" si="197"/>
        <v>0.31118395120635645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IFERROR(__xludf.DUMMYFUNCTION("IMPORTRANGE(""https://docs.google.com/spreadsheets/d/1-uDff_7J0KD5mKrp0Vvzr7lt3OU09vwQwhkpOPPYv2Y/edit?usp=sharing"",""งบพรบ!EB88"")"),0)</f>
        <v>0</v>
      </c>
      <c r="M312" s="46">
        <f ca="1">IFERROR(__xludf.DUMMYFUNCTION("IMPORTRANGE(""https://docs.google.com/spreadsheets/d/1-uDff_7J0KD5mKrp0Vvzr7lt3OU09vwQwhkpOPPYv2Y/edit?usp=sharing"",""งบพรบ!EE88"")"),0)</f>
        <v>0</v>
      </c>
      <c r="N312" s="46">
        <f ca="1">IFERROR(__xludf.DUMMYFUNCTION("IMPORTRANGE(""https://docs.google.com/spreadsheets/d/1-uDff_7J0KD5mKrp0Vvzr7lt3OU09vwQwhkpOPPYv2Y/edit?usp=sharing"",""งบพรบ!EG88"")"),0)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IFERROR(__xludf.DUMMYFUNCTION("IMPORTRANGE(""https://docs.google.com/spreadsheets/d/1eHaY18a8A9IcSdp1K8H6x8fbOy06t2VsZHhMHf-1x7Y/edit?usp=sharing"",""แผน!EF88"")"),20)</f>
        <v>20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1</v>
      </c>
      <c r="J320" s="321">
        <f t="shared" si="204"/>
        <v>1</v>
      </c>
      <c r="K320" s="322">
        <f ca="1">IF(I320&gt;0,J320*100/I320,0)</f>
        <v>100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20000</v>
      </c>
      <c r="M321" s="132">
        <f t="shared" ca="1" si="205"/>
        <v>20000</v>
      </c>
      <c r="N321" s="132">
        <f t="shared" ca="1" si="205"/>
        <v>20000</v>
      </c>
      <c r="O321" s="132">
        <f t="shared" ref="O321:O329" ca="1" si="206">IF(L321&gt;0,N321*100/L321,0)</f>
        <v>100</v>
      </c>
      <c r="P321" s="132">
        <f t="shared" ref="P321:P329" ca="1" si="207">IF(M321&gt;0,N321*100/M321,0)</f>
        <v>100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20000</v>
      </c>
      <c r="M323" s="46">
        <f t="shared" ca="1" si="211"/>
        <v>20000</v>
      </c>
      <c r="N323" s="46">
        <f t="shared" ca="1" si="211"/>
        <v>20000</v>
      </c>
      <c r="O323" s="46">
        <f t="shared" ca="1" si="206"/>
        <v>100</v>
      </c>
      <c r="P323" s="46">
        <f t="shared" ca="1" si="207"/>
        <v>100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20000</v>
      </c>
      <c r="M324" s="46">
        <f t="shared" ca="1" si="213"/>
        <v>20000</v>
      </c>
      <c r="N324" s="46">
        <f t="shared" ca="1" si="213"/>
        <v>20000</v>
      </c>
      <c r="O324" s="46">
        <f t="shared" ca="1" si="206"/>
        <v>100</v>
      </c>
      <c r="P324" s="46">
        <f t="shared" ca="1" si="207"/>
        <v>100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IFERROR(__xludf.DUMMYFUNCTION("IMPORTRANGE(""https://docs.google.com/spreadsheets/d/1-uDff_7J0KD5mKrp0Vvzr7lt3OU09vwQwhkpOPPYv2Y/edit?usp=sharing"",""งบพรบ!EI88"")"),20000)</f>
        <v>20000</v>
      </c>
      <c r="M326" s="46">
        <f ca="1">IFERROR(__xludf.DUMMYFUNCTION("IMPORTRANGE(""https://docs.google.com/spreadsheets/d/1-uDff_7J0KD5mKrp0Vvzr7lt3OU09vwQwhkpOPPYv2Y/edit?usp=sharing"",""งบพรบ!EN88"")"),20000)</f>
        <v>20000</v>
      </c>
      <c r="N326" s="46">
        <f ca="1">IFERROR(__xludf.DUMMYFUNCTION("IMPORTRANGE(""https://docs.google.com/spreadsheets/d/1-uDff_7J0KD5mKrp0Vvzr7lt3OU09vwQwhkpOPPYv2Y/edit?usp=sharing"",""งบพรบ!EP88"")"),20000)</f>
        <v>20000</v>
      </c>
      <c r="O326" s="46">
        <f t="shared" ca="1" si="206"/>
        <v>100</v>
      </c>
      <c r="P326" s="46">
        <f t="shared" ca="1" si="207"/>
        <v>100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IFERROR(__xludf.DUMMYFUNCTION("IMPORTRANGE(""https://docs.google.com/spreadsheets/d/1-uDff_7J0KD5mKrp0Vvzr7lt3OU09vwQwhkpOPPYv2Y/edit?usp=sharing"",""งบพรบ!EL88"")"),0)</f>
        <v>0</v>
      </c>
      <c r="M329" s="46">
        <f ca="1">IFERROR(__xludf.DUMMYFUNCTION("IMPORTRANGE(""https://docs.google.com/spreadsheets/d/1-uDff_7J0KD5mKrp0Vvzr7lt3OU09vwQwhkpOPPYv2Y/edit?usp=sharing"",""งบพรบ!EO88"")"),0)</f>
        <v>0</v>
      </c>
      <c r="N329" s="46">
        <f ca="1">IFERROR(__xludf.DUMMYFUNCTION("IMPORTRANGE(""https://docs.google.com/spreadsheets/d/1-uDff_7J0KD5mKrp0Vvzr7lt3OU09vwQwhkpOPPYv2Y/edit?usp=sharing"",""งบพรบ!EQ88"")"),0)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IFERROR(__xludf.DUMMYFUNCTION("IMPORTRANGE(""https://docs.google.com/spreadsheets/d/1eHaY18a8A9IcSdp1K8H6x8fbOy06t2VsZHhMHf-1x7Y/edit?usp=sharing"",""แผน!EJ88"")"),1)</f>
        <v>1</v>
      </c>
      <c r="J331" s="168">
        <v>1</v>
      </c>
      <c r="K331" s="46">
        <f ca="1">IF(I331&gt;0,J331*100/I331,0)</f>
        <v>100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3200</v>
      </c>
      <c r="J333" s="665">
        <f ca="1">J345+J348+J349+J350+J354</f>
        <v>10335</v>
      </c>
      <c r="K333" s="666">
        <f ca="1">IF(I333&gt;0,J333*100/I333,0)</f>
        <v>322.96875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113000</v>
      </c>
      <c r="M334" s="132">
        <f t="shared" ca="1" si="217"/>
        <v>118000</v>
      </c>
      <c r="N334" s="132">
        <f t="shared" ca="1" si="217"/>
        <v>92060</v>
      </c>
      <c r="O334" s="132">
        <f t="shared" ref="O334:O342" ca="1" si="218">IF(L334&gt;0,N334*100/L334,0)</f>
        <v>81.469026548672559</v>
      </c>
      <c r="P334" s="132">
        <f t="shared" ref="P334:P342" ca="1" si="219">IF(M334&gt;0,N334*100/M334,0)</f>
        <v>78.016949152542367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113000</v>
      </c>
      <c r="M336" s="46">
        <f t="shared" ca="1" si="223"/>
        <v>118000</v>
      </c>
      <c r="N336" s="46">
        <f t="shared" ca="1" si="223"/>
        <v>92060</v>
      </c>
      <c r="O336" s="46">
        <f t="shared" ca="1" si="218"/>
        <v>81.469026548672559</v>
      </c>
      <c r="P336" s="46">
        <f t="shared" ca="1" si="219"/>
        <v>78.016949152542367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113000</v>
      </c>
      <c r="M337" s="46">
        <f t="shared" ca="1" si="225"/>
        <v>118000</v>
      </c>
      <c r="N337" s="46">
        <f t="shared" ca="1" si="225"/>
        <v>92060</v>
      </c>
      <c r="O337" s="46">
        <f t="shared" ca="1" si="218"/>
        <v>81.469026548672559</v>
      </c>
      <c r="P337" s="46">
        <f t="shared" ca="1" si="219"/>
        <v>78.016949152542367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IFERROR(__xludf.DUMMYFUNCTION("IMPORTRANGE(""https://docs.google.com/spreadsheets/d/1-uDff_7J0KD5mKrp0Vvzr7lt3OU09vwQwhkpOPPYv2Y/edit?usp=sharing"",""งบพรบ!ES88"")"),113000)</f>
        <v>113000</v>
      </c>
      <c r="M339" s="46">
        <f ca="1">IFERROR(__xludf.DUMMYFUNCTION("IMPORTRANGE(""https://docs.google.com/spreadsheets/d/1-uDff_7J0KD5mKrp0Vvzr7lt3OU09vwQwhkpOPPYv2Y/edit?usp=sharing"",""งบพรบ!EX88"")"),118000)</f>
        <v>118000</v>
      </c>
      <c r="N339" s="46">
        <f ca="1">IFERROR(__xludf.DUMMYFUNCTION("IMPORTRANGE(""https://docs.google.com/spreadsheets/d/1-uDff_7J0KD5mKrp0Vvzr7lt3OU09vwQwhkpOPPYv2Y/edit?usp=sharing"",""งบพรบ!EZ88"")"),92060)</f>
        <v>92060</v>
      </c>
      <c r="O339" s="46">
        <f t="shared" ca="1" si="218"/>
        <v>81.469026548672559</v>
      </c>
      <c r="P339" s="46">
        <f t="shared" ca="1" si="219"/>
        <v>78.016949152542367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IFERROR(__xludf.DUMMYFUNCTION("IMPORTRANGE(""https://docs.google.com/spreadsheets/d/1-uDff_7J0KD5mKrp0Vvzr7lt3OU09vwQwhkpOPPYv2Y/edit?usp=sharing"",""งบพรบ!EV88"")"),0)</f>
        <v>0</v>
      </c>
      <c r="M342" s="46">
        <f ca="1">IFERROR(__xludf.DUMMYFUNCTION("IMPORTRANGE(""https://docs.google.com/spreadsheets/d/1-uDff_7J0KD5mKrp0Vvzr7lt3OU09vwQwhkpOPPYv2Y/edit?usp=sharing"",""งบพรบ!EY88"")"),0)</f>
        <v>0</v>
      </c>
      <c r="N342" s="46">
        <f ca="1">IFERROR(__xludf.DUMMYFUNCTION("IMPORTRANGE(""https://docs.google.com/spreadsheets/d/1-uDff_7J0KD5mKrp0Vvzr7lt3OU09vwQwhkpOPPYv2Y/edit?usp=sharing"",""งบพรบ!FA88"")"),0)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5530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IFERROR(__xludf.DUMMYFUNCTION("IMPORTRANGE(""https://docs.google.com/spreadsheets/d/1eHaY18a8A9IcSdp1K8H6x8fbOy06t2VsZHhMHf-1x7Y/edit?usp=sharing"",""แผน!EK88"")"),3200)</f>
        <v>3200</v>
      </c>
      <c r="J345" s="152">
        <f ca="1">IFERROR(__xludf.DUMMYFUNCTION("IMPORTRANGE(""https://docs.google.com/spreadsheets/d/1awYsYK3VOup2i3Pq_Yjnu8DRu_mYwSBnCR2QPthd0rU/edit?usp=sharing"",""ศูนย์ยกเว้นโฉนด!D88"")"),5396)</f>
        <v>5396</v>
      </c>
      <c r="K345" s="46">
        <f ca="1">IF(I345&gt;0,J345*100/I345,0)</f>
        <v>168.625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IFERROR(__xludf.DUMMYFUNCTION("IMPORTRANGE(""https://docs.google.com/spreadsheets/d/1eHaY18a8A9IcSdp1K8H6x8fbOy06t2VsZHhMHf-1x7Y/edit?usp=sharing"",""แผน!EL88"")"),5)</f>
        <v>5</v>
      </c>
      <c r="J347" s="152">
        <f ca="1">IFERROR(__xludf.DUMMYFUNCTION("IMPORTRANGE(""https://docs.google.com/spreadsheets/d/1awYsYK3VOup2i3Pq_Yjnu8DRu_mYwSBnCR2QPthd0rU/edit?usp=sharing"",""ศูนย์รวม!E88"")"),5)</f>
        <v>5</v>
      </c>
      <c r="K347" s="46">
        <f ca="1">IF(I347&gt;0,J347*100/I347,0)</f>
        <v>100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7096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IFERROR(__xludf.DUMMYFUNCTION("IMPORTRANGE(""https://docs.google.com/spreadsheets/d/1awYsYK3VOup2i3Pq_Yjnu8DRu_mYwSBnCR2QPthd0rU/edit?usp=sharing"",""โฉนดM3!G88"")"),2291)</f>
        <v>2291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IFERROR(__xludf.DUMMYFUNCTION("IMPORTRANGE(""https://docs.google.com/spreadsheets/d/1awYsYK3VOup2i3Pq_Yjnu8DRu_mYwSBnCR2QPthd0rU/edit?usp=sharing"",""โฉนดM3!H88"")"),4805)</f>
        <v>4805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746400</v>
      </c>
      <c r="M357" s="132">
        <f t="shared" ca="1" si="229"/>
        <v>746400</v>
      </c>
      <c r="N357" s="132">
        <f t="shared" ca="1" si="229"/>
        <v>553473.37</v>
      </c>
      <c r="O357" s="132">
        <f t="shared" ref="O357:O365" ca="1" si="230">IF(L357&gt;0,N357*100/L357,0)</f>
        <v>74.152380760986063</v>
      </c>
      <c r="P357" s="132">
        <f t="shared" ref="P357:P365" ca="1" si="231">IF(M357&gt;0,N357*100/M357,0)</f>
        <v>74.152380760986063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746400</v>
      </c>
      <c r="M359" s="46">
        <f t="shared" ca="1" si="235"/>
        <v>746400</v>
      </c>
      <c r="N359" s="46">
        <f t="shared" ca="1" si="235"/>
        <v>553473.37</v>
      </c>
      <c r="O359" s="46">
        <f t="shared" ca="1" si="230"/>
        <v>74.152380760986063</v>
      </c>
      <c r="P359" s="46">
        <f t="shared" ca="1" si="231"/>
        <v>74.152380760986063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746400</v>
      </c>
      <c r="M360" s="46">
        <f t="shared" ca="1" si="237"/>
        <v>746400</v>
      </c>
      <c r="N360" s="46">
        <f t="shared" ca="1" si="237"/>
        <v>553473.37</v>
      </c>
      <c r="O360" s="46">
        <f t="shared" ca="1" si="230"/>
        <v>74.152380760986063</v>
      </c>
      <c r="P360" s="46">
        <f t="shared" ca="1" si="231"/>
        <v>74.152380760986063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IFERROR(__xludf.DUMMYFUNCTION("IMPORTRANGE(""https://docs.google.com/spreadsheets/d/1-uDff_7J0KD5mKrp0Vvzr7lt3OU09vwQwhkpOPPYv2Y/edit?usp=sharing"",""งบพรบ!FC88"")"),746400)</f>
        <v>746400</v>
      </c>
      <c r="M362" s="46">
        <f ca="1">IFERROR(__xludf.DUMMYFUNCTION("IMPORTRANGE(""https://docs.google.com/spreadsheets/d/1-uDff_7J0KD5mKrp0Vvzr7lt3OU09vwQwhkpOPPYv2Y/edit?usp=sharing"",""งบพรบ!FH88"")"),746400)</f>
        <v>746400</v>
      </c>
      <c r="N362" s="46">
        <f ca="1">IFERROR(__xludf.DUMMYFUNCTION("IMPORTRANGE(""https://docs.google.com/spreadsheets/d/1-uDff_7J0KD5mKrp0Vvzr7lt3OU09vwQwhkpOPPYv2Y/edit?usp=sharing"",""งบพรบ!FJ88"")"),553473.37)</f>
        <v>553473.37</v>
      </c>
      <c r="O362" s="46">
        <f t="shared" ca="1" si="230"/>
        <v>74.152380760986063</v>
      </c>
      <c r="P362" s="46">
        <f t="shared" ca="1" si="231"/>
        <v>74.152380760986063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IFERROR(__xludf.DUMMYFUNCTION("IMPORTRANGE(""https://docs.google.com/spreadsheets/d/1-uDff_7J0KD5mKrp0Vvzr7lt3OU09vwQwhkpOPPYv2Y/edit?usp=sharing"",""งบพรบ!FF88"")"),0)</f>
        <v>0</v>
      </c>
      <c r="M365" s="46">
        <f ca="1">IFERROR(__xludf.DUMMYFUNCTION("IMPORTRANGE(""https://docs.google.com/spreadsheets/d/1-uDff_7J0KD5mKrp0Vvzr7lt3OU09vwQwhkpOPPYv2Y/edit?usp=sharing"",""งบพรบ!FI88"")"),0)</f>
        <v>0</v>
      </c>
      <c r="N365" s="46">
        <f ca="1">IFERROR(__xludf.DUMMYFUNCTION("IMPORTRANGE(""https://docs.google.com/spreadsheets/d/1-uDff_7J0KD5mKrp0Vvzr7lt3OU09vwQwhkpOPPYv2Y/edit?usp=sharing"",""งบพรบ!FK88"")"),0)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341</v>
      </c>
      <c r="J366" s="235">
        <f t="shared" ca="1" si="241"/>
        <v>951</v>
      </c>
      <c r="K366" s="236">
        <f ca="1">IF(I366&gt;0,J366*100/I366,0)</f>
        <v>278.88563049853371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IFERROR(__xludf.DUMMYFUNCTION("IMPORTRANGE(""https://docs.google.com/spreadsheets/d/1tdoBKaGub7dwA3U6UFTqxio9LNnvDCQjHKmttSEBsFQ/edit?usp=sharing"",""จัดที่ดิน!AB88"")"),307)</f>
        <v>307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IFERROR(__xludf.DUMMYFUNCTION("IMPORTRANGE(""https://docs.google.com/spreadsheets/d/1eHaY18a8A9IcSdp1K8H6x8fbOy06t2VsZHhMHf-1x7Y/edit?usp=sharing"",""แผน!EW88"")"),3285)</f>
        <v>3285</v>
      </c>
      <c r="J369" s="676">
        <f ca="1">IFERROR(__xludf.DUMMYFUNCTION("IMPORTRANGE(""https://docs.google.com/spreadsheets/d/1tdoBKaGub7dwA3U6UFTqxio9LNnvDCQjHKmttSEBsFQ/edit?usp=sharing"",""จัดที่ดิน!AC88"")"),3536.35)</f>
        <v>3536.35</v>
      </c>
      <c r="K369" s="46">
        <f t="shared" ca="1" si="242"/>
        <v>107.65144596651446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IFERROR(__xludf.DUMMYFUNCTION("IMPORTRANGE(""https://docs.google.com/spreadsheets/d/1eHaY18a8A9IcSdp1K8H6x8fbOy06t2VsZHhMHf-1x7Y/edit?usp=sharing"",""แผน!EX88"")"),521)</f>
        <v>521</v>
      </c>
      <c r="J370" s="152">
        <f ca="1">IFERROR(__xludf.DUMMYFUNCTION("IMPORTRANGE(""https://docs.google.com/spreadsheets/d/1tdoBKaGub7dwA3U6UFTqxio9LNnvDCQjHKmttSEBsFQ/edit?usp=sharing"",""จัดที่ดิน!AD88"")"),992)</f>
        <v>992</v>
      </c>
      <c r="K370" s="46">
        <f t="shared" ca="1" si="242"/>
        <v>190.40307101727447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IFERROR(__xludf.DUMMYFUNCTION("IMPORTRANGE(""https://docs.google.com/spreadsheets/d/1tdoBKaGub7dwA3U6UFTqxio9LNnvDCQjHKmttSEBsFQ/edit?usp=sharing"",""จัดที่ดิน!AE88"")"),14061.16)</f>
        <v>14061.16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IFERROR(__xludf.DUMMYFUNCTION("IMPORTRANGE(""https://docs.google.com/spreadsheets/d/1eHaY18a8A9IcSdp1K8H6x8fbOy06t2VsZHhMHf-1x7Y/edit?usp=sharing"",""แผน!EY88"")"),341)</f>
        <v>341</v>
      </c>
      <c r="J372" s="152">
        <f ca="1">IFERROR(__xludf.DUMMYFUNCTION("IMPORTRANGE(""https://docs.google.com/spreadsheets/d/1tdoBKaGub7dwA3U6UFTqxio9LNnvDCQjHKmttSEBsFQ/edit?usp=sharing"",""จัดที่ดิน!AF88"")"),951)</f>
        <v>951</v>
      </c>
      <c r="K372" s="46">
        <f t="shared" ca="1" si="242"/>
        <v>278.88563049853371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IFERROR(__xludf.DUMMYFUNCTION("IMPORTRANGE(""https://docs.google.com/spreadsheets/d/1tdoBKaGub7dwA3U6UFTqxio9LNnvDCQjHKmttSEBsFQ/edit?usp=sharing"",""จัดที่ดิน!AG88"")"),13790.57)</f>
        <v>13790.57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I387+I389</f>
        <v>1000</v>
      </c>
      <c r="J375" s="684">
        <f t="shared" ca="1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62500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62500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62500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IFERROR(__xludf.DUMMYFUNCTION("IMPORTRANGE(""https://docs.google.com/spreadsheets/d/1ItG2mGa2ceCfYo0BwxsXqNm01IGEUdYcSSLTEv9YCik/edit?usp=sharing"",""เบิกจ่ายกองทุน!AY88"")"),62500)</f>
        <v>62500</v>
      </c>
      <c r="R381" s="46">
        <f ca="1">IFERROR(__xludf.DUMMYFUNCTION("IMPORTRANGE(""https://docs.google.com/spreadsheets/d/1ItG2mGa2ceCfYo0BwxsXqNm01IGEUdYcSSLTEv9YCik/edit?usp=sharing"",""เบิกจ่ายกองทุน!AZ88"")"),0)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IFERROR(__xludf.DUMMYFUNCTION("IMPORTRANGE(""https://docs.google.com/spreadsheets/d/1ItG2mGa2ceCfYo0BwxsXqNm01IGEUdYcSSLTEv9YCik/edit?usp=sharing"",""เบิกจ่ายกองทุน!BA88"")"),0)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IFERROR(__xludf.DUMMYFUNCTION("IMPORTRANGE(""https://docs.google.com/spreadsheets/d/1w5rwWK1o49a35cNtocGL0gxDwhFSTZUQu90BiH9_zqM/edit?usp=sharing"",""RTK!H88"")"),0)</f>
        <v>0</v>
      </c>
      <c r="K386" s="46">
        <f t="shared" ref="K386:K389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IFERROR(__xludf.DUMMYFUNCTION("IMPORTRANGE(""https://docs.google.com/spreadsheets/d/1w5rwWK1o49a35cNtocGL0gxDwhFSTZUQu90BiH9_zqM/edit?usp=sharing"",""RTK!G88"")"),1000)</f>
        <v>1000</v>
      </c>
      <c r="J387" s="152">
        <f ca="1">IFERROR(__xludf.DUMMYFUNCTION("IMPORTRANGE(""https://docs.google.com/spreadsheets/d/1w5rwWK1o49a35cNtocGL0gxDwhFSTZUQu90BiH9_zqM/edit?usp=sharing"",""RTK!I88"")"),0)</f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IFERROR(__xludf.DUMMYFUNCTION("IMPORTRANGE(""https://docs.google.com/spreadsheets/d/1w5rwWK1o49a35cNtocGL0gxDwhFSTZUQu90BiH9_zqM/edit?usp=sharing"",""RTK!L88"")"),0)</f>
        <v>0</v>
      </c>
      <c r="K388" s="630">
        <f t="shared" si="256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IFERROR(__xludf.DUMMYFUNCTION("IMPORTRANGE(""https://docs.google.com/spreadsheets/d/1w5rwWK1o49a35cNtocGL0gxDwhFSTZUQu90BiH9_zqM/edit?usp=sharing"",""RTK!K88"")"),0)</f>
        <v>0</v>
      </c>
      <c r="J389" s="691">
        <f ca="1">IFERROR(__xludf.DUMMYFUNCTION("IMPORTRANGE(""https://docs.google.com/spreadsheets/d/1w5rwWK1o49a35cNtocGL0gxDwhFSTZUQu90BiH9_zqM/edit?usp=sharing"",""RTK!M88"")"),0)</f>
        <v>0</v>
      </c>
      <c r="K389" s="630">
        <f t="shared" ca="1" si="256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IFERROR(__xludf.DUMMYFUNCTION("IMPORTRANGE(""https://docs.google.com/spreadsheets/d/1ItG2mGa2ceCfYo0BwxsXqNm01IGEUdYcSSLTEv9YCik/edit?usp=sharing"",""เบิกจ่ายกองทุน!BH88"")"),0)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IFERROR(__xludf.DUMMYFUNCTION("IMPORTRANGE(""https://docs.google.com/spreadsheets/d/1ItG2mGa2ceCfYo0BwxsXqNm01IGEUdYcSSLTEv9YCik/edit?usp=sharing"",""เบิกจ่ายกองทุน!BI88"")"),0)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IFERROR(__xludf.DUMMYFUNCTION("IMPORTRANGE(""https://docs.google.com/spreadsheets/d/1ItG2mGa2ceCfYo0BwxsXqNm01IGEUdYcSSLTEv9YCik/edit?usp=sharing"",""เบิกจ่ายกองทุน!BJ88"")"),0)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IFERROR(__xludf.DUMMYFUNCTION("IMPORTRANGE(""https://docs.google.com/spreadsheets/d/1eHaY18a8A9IcSdp1K8H6x8fbOy06t2VsZHhMHf-1x7Y/edit?usp=sharing"",""แผน!HJ88"")"),0)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IFERROR(__xludf.DUMMYFUNCTION("IMPORTRANGE(""https://docs.google.com/spreadsheets/d/1eHaY18a8A9IcSdp1K8H6x8fbOy06t2VsZHhMHf-1x7Y/edit?usp=sharing"",""แผน!HK88"")"),0)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IFERROR(__xludf.DUMMYFUNCTION("IMPORTRANGE(""https://docs.google.com/spreadsheets/d/1eHaY18a8A9IcSdp1K8H6x8fbOy06t2VsZHhMHf-1x7Y/edit?usp=sharing"",""แผน!HJ88"")"),0)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IFERROR(__xludf.DUMMYFUNCTION("IMPORTRANGE(""https://docs.google.com/spreadsheets/d/1eHaY18a8A9IcSdp1K8H6x8fbOy06t2VsZHhMHf-1x7Y/edit?usp=sharing"",""แผน!HK88"")"),0)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IFERROR(__xludf.DUMMYFUNCTION("IMPORTRANGE(""https://docs.google.com/spreadsheets/d/1eHaY18a8A9IcSdp1K8H6x8fbOy06t2VsZHhMHf-1x7Y/edit?usp=sharing"",""แผน!HJ88"")"),0)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IFERROR(__xludf.DUMMYFUNCTION("IMPORTRANGE(""https://docs.google.com/spreadsheets/d/1eHaY18a8A9IcSdp1K8H6x8fbOy06t2VsZHhMHf-1x7Y/edit?usp=sharing"",""แผน!HK88"")"),0)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IFERROR(__xludf.DUMMYFUNCTION("IMPORTRANGE(""https://docs.google.com/spreadsheets/d/1eHaY18a8A9IcSdp1K8H6x8fbOy06t2VsZHhMHf-1x7Y/edit?usp=sharing"",""แผน!HL88"")"),0)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IFERROR(__xludf.DUMMYFUNCTION("IMPORTRANGE(""https://docs.google.com/spreadsheets/d/1eHaY18a8A9IcSdp1K8H6x8fbOy06t2VsZHhMHf-1x7Y/edit?usp=sharing"",""แผน!HM88"")"),0)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IFERROR(__xludf.DUMMYFUNCTION("IMPORTRANGE(""https://docs.google.com/spreadsheets/d/1eHaY18a8A9IcSdp1K8H6x8fbOy06t2VsZHhMHf-1x7Y/edit?usp=sharing"",""แผน!HN88"")"),0)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IFERROR(__xludf.DUMMYFUNCTION("IMPORTRANGE(""https://docs.google.com/spreadsheets/d/1eHaY18a8A9IcSdp1K8H6x8fbOy06t2VsZHhMHf-1x7Y/edit?usp=sharing"",""แผน!HO88"")"),0)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30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460185</v>
      </c>
      <c r="R494" s="132">
        <f t="shared" ca="1" si="305"/>
        <v>460185</v>
      </c>
      <c r="S494" s="132">
        <f t="shared" ca="1" si="305"/>
        <v>52315</v>
      </c>
      <c r="T494" s="132">
        <f t="shared" ref="T494:T502" ca="1" si="306">IF(Q494&gt;0,S494*100/Q494,0)</f>
        <v>11.368254071732022</v>
      </c>
      <c r="U494" s="132">
        <f t="shared" ref="U494:U502" ca="1" si="307">IF(R494&gt;0,S494*100/R494,0)</f>
        <v>11.368254071732022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460185</v>
      </c>
      <c r="R496" s="46">
        <f t="shared" ca="1" si="309"/>
        <v>460185</v>
      </c>
      <c r="S496" s="46">
        <f t="shared" ca="1" si="309"/>
        <v>52315</v>
      </c>
      <c r="T496" s="46">
        <f t="shared" ca="1" si="306"/>
        <v>11.368254071732022</v>
      </c>
      <c r="U496" s="46">
        <f t="shared" ca="1" si="307"/>
        <v>11.368254071732022</v>
      </c>
    </row>
    <row r="497" spans="1:21" ht="18.75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460185</v>
      </c>
      <c r="R497" s="46">
        <f t="shared" ca="1" si="311"/>
        <v>460185</v>
      </c>
      <c r="S497" s="46">
        <f t="shared" ca="1" si="311"/>
        <v>52315</v>
      </c>
      <c r="T497" s="46">
        <f t="shared" ca="1" si="306"/>
        <v>11.368254071732022</v>
      </c>
      <c r="U497" s="46">
        <f t="shared" ca="1" si="307"/>
        <v>11.368254071732022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IFERROR(__xludf.DUMMYFUNCTION("IMPORTRANGE(""https://docs.google.com/spreadsheets/d/1ItG2mGa2ceCfYo0BwxsXqNm01IGEUdYcSSLTEv9YCik/edit?usp=sharing"",""เบิกจ่ายกองทุน!X88"")"),460185)</f>
        <v>460185</v>
      </c>
      <c r="R499" s="46">
        <f ca="1">IFERROR(__xludf.DUMMYFUNCTION("IMPORTRANGE(""https://docs.google.com/spreadsheets/d/1ItG2mGa2ceCfYo0BwxsXqNm01IGEUdYcSSLTEv9YCik/edit?usp=sharing"",""เบิกจ่ายกองทุน!Y88"")"),460185)</f>
        <v>460185</v>
      </c>
      <c r="S499" s="46">
        <f ca="1">IFERROR(__xludf.DUMMYFUNCTION("IMPORTRANGE(""https://docs.google.com/spreadsheets/d/1ItG2mGa2ceCfYo0BwxsXqNm01IGEUdYcSSLTEv9YCik/edit?usp=sharing"",""เบิกจ่ายกองทุน!Z88"")"),52315)</f>
        <v>52315</v>
      </c>
      <c r="T499" s="46">
        <f t="shared" ca="1" si="306"/>
        <v>11.368254071732022</v>
      </c>
      <c r="U499" s="46">
        <f t="shared" ca="1" si="307"/>
        <v>11.368254071732022</v>
      </c>
    </row>
    <row r="500" spans="1:21" ht="18.75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IFERROR(__xludf.DUMMYFUNCTION("IMPORTRANGE(""https://docs.google.com/spreadsheets/d/1eHaY18a8A9IcSdp1K8H6x8fbOy06t2VsZHhMHf-1x7Y/edit?usp=sharing"",""แผน!GX88"")"),30)</f>
        <v>30</v>
      </c>
      <c r="J504" s="147">
        <f ca="1">IF(AND(J505=I504,J506=I504,J507=I504,J508=I504),I504,0)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IFERROR(__xludf.DUMMYFUNCTION("IMPORTRANGE(""https://docs.google.com/spreadsheets/d/1eHaY18a8A9IcSdp1K8H6x8fbOy06t2VsZHhMHf-1x7Y/edit?usp=sharing"",""แผน!GY88"")"),0)</f>
        <v>0</v>
      </c>
      <c r="J505" s="168">
        <v>30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IFERROR(__xludf.DUMMYFUNCTION("IMPORTRANGE(""https://docs.google.com/spreadsheets/d/1eHaY18a8A9IcSdp1K8H6x8fbOy06t2VsZHhMHf-1x7Y/edit?usp=sharing"",""แผน!GZ88"")"),0)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IFERROR(__xludf.DUMMYFUNCTION("IMPORTRANGE(""https://docs.google.com/spreadsheets/d/1eHaY18a8A9IcSdp1K8H6x8fbOy06t2VsZHhMHf-1x7Y/edit?usp=sharing"",""แผน!HA88"")"),0)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IFERROR(__xludf.DUMMYFUNCTION("IMPORTRANGE(""https://docs.google.com/spreadsheets/d/1eHaY18a8A9IcSdp1K8H6x8fbOy06t2VsZHhMHf-1x7Y/edit?usp=sharing"",""แผน!HB88"")"),0)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IFERROR(__xludf.DUMMYFUNCTION("IMPORTRANGE(""https://docs.google.com/spreadsheets/d/1eHaY18a8A9IcSdp1K8H6x8fbOy06t2VsZHhMHf-1x7Y/edit?usp=sharing"",""แผน!HC88"")"),0)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IFERROR(__xludf.DUMMYFUNCTION("IMPORTRANGE(""https://docs.google.com/spreadsheets/d/1-uDff_7J0KD5mKrp0Vvzr7lt3OU09vwQwhkpOPPYv2Y/edit?usp=sharing"",""งบพรบ!FM88"")"),0)</f>
        <v>0</v>
      </c>
      <c r="M519" s="46">
        <f ca="1">IFERROR(__xludf.DUMMYFUNCTION("IMPORTRANGE(""https://docs.google.com/spreadsheets/d/1-uDff_7J0KD5mKrp0Vvzr7lt3OU09vwQwhkpOPPYv2Y/edit?usp=sharing"",""งบพรบ!FR88"")"),0)</f>
        <v>0</v>
      </c>
      <c r="N519" s="46">
        <f ca="1">IFERROR(__xludf.DUMMYFUNCTION("IMPORTRANGE(""https://docs.google.com/spreadsheets/d/1-uDff_7J0KD5mKrp0Vvzr7lt3OU09vwQwhkpOPPYv2Y/edit?usp=sharing"",""งบพรบ!FT88"")"),0)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IFERROR(__xludf.DUMMYFUNCTION("IMPORTRANGE(""https://docs.google.com/spreadsheets/d/1-uDff_7J0KD5mKrp0Vvzr7lt3OU09vwQwhkpOPPYv2Y/edit?usp=sharing"",""งบพรบ!FP88"")"),0)</f>
        <v>0</v>
      </c>
      <c r="M522" s="46">
        <f ca="1">IFERROR(__xludf.DUMMYFUNCTION("IMPORTRANGE(""https://docs.google.com/spreadsheets/d/1-uDff_7J0KD5mKrp0Vvzr7lt3OU09vwQwhkpOPPYv2Y/edit?usp=sharing"",""งบพรบ!FS88"")"),0)</f>
        <v>0</v>
      </c>
      <c r="N522" s="46">
        <f ca="1">IFERROR(__xludf.DUMMYFUNCTION("IMPORTRANGE(""https://docs.google.com/spreadsheets/d/1-uDff_7J0KD5mKrp0Vvzr7lt3OU09vwQwhkpOPPYv2Y/edit?usp=sharing"",""งบพรบ!FU88"")"),0)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2075</v>
      </c>
      <c r="R617" s="132">
        <f t="shared" ca="1" si="384"/>
        <v>2075</v>
      </c>
      <c r="S617" s="132">
        <f t="shared" ca="1" si="384"/>
        <v>1100</v>
      </c>
      <c r="T617" s="132">
        <f t="shared" ref="T617:T625" ca="1" si="385">IF(Q617&gt;0,S617*100/Q617,0)</f>
        <v>53.012048192771083</v>
      </c>
      <c r="U617" s="132">
        <f t="shared" ref="U617:U625" ca="1" si="386">IF(R617&gt;0,S617*100/R617,0)</f>
        <v>53.012048192771083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2075</v>
      </c>
      <c r="R619" s="46">
        <f t="shared" ca="1" si="388"/>
        <v>2075</v>
      </c>
      <c r="S619" s="46">
        <f t="shared" ca="1" si="388"/>
        <v>1100</v>
      </c>
      <c r="T619" s="46">
        <f t="shared" ca="1" si="385"/>
        <v>53.012048192771083</v>
      </c>
      <c r="U619" s="46">
        <f t="shared" ca="1" si="386"/>
        <v>53.012048192771083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2075</v>
      </c>
      <c r="R620" s="46">
        <f t="shared" ca="1" si="390"/>
        <v>2075</v>
      </c>
      <c r="S620" s="46">
        <f t="shared" ca="1" si="390"/>
        <v>1100</v>
      </c>
      <c r="T620" s="46">
        <f t="shared" ca="1" si="385"/>
        <v>53.012048192771083</v>
      </c>
      <c r="U620" s="46">
        <f t="shared" ca="1" si="386"/>
        <v>53.012048192771083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IFERROR(__xludf.DUMMYFUNCTION("IMPORTRANGE(""https://docs.google.com/spreadsheets/d/1ItG2mGa2ceCfYo0BwxsXqNm01IGEUdYcSSLTEv9YCik/edit?usp=sharing"",""เบิกจ่ายกองทุน!F88"")"),2075)</f>
        <v>2075</v>
      </c>
      <c r="R622" s="46">
        <f ca="1">IFERROR(__xludf.DUMMYFUNCTION("IMPORTRANGE(""https://docs.google.com/spreadsheets/d/1ItG2mGa2ceCfYo0BwxsXqNm01IGEUdYcSSLTEv9YCik/edit?usp=sharing"",""เบิกจ่ายกองทุน!G88"")"),2075)</f>
        <v>2075</v>
      </c>
      <c r="S622" s="46">
        <f ca="1">IFERROR(__xludf.DUMMYFUNCTION("IMPORTRANGE(""https://docs.google.com/spreadsheets/d/1ItG2mGa2ceCfYo0BwxsXqNm01IGEUdYcSSLTEv9YCik/edit?usp=sharing"",""เบิกจ่ายกองทุน!H88"")"),1100)</f>
        <v>1100</v>
      </c>
      <c r="T622" s="46">
        <f t="shared" ca="1" si="385"/>
        <v>53.012048192771083</v>
      </c>
      <c r="U622" s="46">
        <f t="shared" ca="1" si="386"/>
        <v>53.012048192771083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IFERROR(__xludf.DUMMYFUNCTION("IMPORTRANGE(""https://docs.google.com/spreadsheets/d/1eHaY18a8A9IcSdp1K8H6x8fbOy06t2VsZHhMHf-1x7Y/edit?usp=sharing"",""แผน!ID88"")"),0)</f>
        <v>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8">
        <v>1</v>
      </c>
      <c r="K628" s="46">
        <f t="shared" ref="K628:K629" ca="1" si="393">IF(I628&gt;0,(J628*100)/I628,0)</f>
        <v>100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IFERROR(__xludf.DUMMYFUNCTION("IMPORTRANGE(""https://docs.google.com/spreadsheets/d/1eHaY18a8A9IcSdp1K8H6x8fbOy06t2VsZHhMHf-1x7Y/edit?usp=sharing"",""แผน!IC88"")"),1)</f>
        <v>1</v>
      </c>
      <c r="J629" s="168">
        <v>1</v>
      </c>
      <c r="K629" s="46">
        <f t="shared" ca="1" si="393"/>
        <v>100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IFERROR(__xludf.DUMMYFUNCTION("IMPORTRANGE(""https://docs.google.com/spreadsheets/d/1eHaY18a8A9IcSdp1K8H6x8fbOy06t2VsZHhMHf-1x7Y/edit?usp=sharing"",""แผน!IE88"")"),0)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IFERROR(__xludf.DUMMYFUNCTION("IMPORTRANGE(""https://docs.google.com/spreadsheets/d/1ItG2mGa2ceCfYo0BwxsXqNm01IGEUdYcSSLTEv9YCik/edit?usp=sharing"",""เบิกจ่ายกองทุน!I88"")"),0)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IFERROR(__xludf.DUMMYFUNCTION("IMPORTRANGE(""https://docs.google.com/spreadsheets/d/1ItG2mGa2ceCfYo0BwxsXqNm01IGEUdYcSSLTEv9YCik/edit?usp=sharing"",""เบิกจ่ายกองทุน!J88"")"),0)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IFERROR(__xludf.DUMMYFUNCTION("IMPORTRANGE(""https://docs.google.com/spreadsheets/d/1ItG2mGa2ceCfYo0BwxsXqNm01IGEUdYcSSLTEv9YCik/edit?usp=sharing"",""เบิกจ่ายกองทุน!K88"")"),0)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IFERROR(__xludf.DUMMYFUNCTION("IMPORTRANGE(""https://docs.google.com/spreadsheets/d/1eHaY18a8A9IcSdp1K8H6x8fbOy06t2VsZHhMHf-1x7Y/edit?usp=sharing"",""แผน!IF88"")"),0)</f>
        <v>0</v>
      </c>
      <c r="J653" s="152">
        <f ca="1">IFERROR(__xludf.DUMMYFUNCTION("IMPORTRANGE(""https://docs.google.com/spreadsheets/d/1tdoBKaGub7dwA3U6UFTqxio9LNnvDCQjHKmttSEBsFQ/edit?usp=sharing"",""จัดที่ดิน!AU88"")"),0)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IFERROR(__xludf.DUMMYFUNCTION("IMPORTRANGE(""https://docs.google.com/spreadsheets/d/1eHaY18a8A9IcSdp1K8H6x8fbOy06t2VsZHhMHf-1x7Y/edit?usp=sharing"",""แผน!IG88"")"),0)</f>
        <v>0</v>
      </c>
      <c r="J654" s="152">
        <f ca="1">IFERROR(__xludf.DUMMYFUNCTION("IMPORTRANGE(""https://docs.google.com/spreadsheets/d/1tdoBKaGub7dwA3U6UFTqxio9LNnvDCQjHKmttSEBsFQ/edit?usp=sharing"",""จัดที่ดิน!AW88"")"),0)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IFERROR(__xludf.DUMMYFUNCTION("IMPORTRANGE(""https://docs.google.com/spreadsheets/d/1eHaY18a8A9IcSdp1K8H6x8fbOy06t2VsZHhMHf-1x7Y/edit?usp=sharing"",""แผน!IH88"")"),0)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IFERROR(__xludf.DUMMYFUNCTION("IMPORTRANGE(""https://docs.google.com/spreadsheets/d/1eHaY18a8A9IcSdp1K8H6x8fbOy06t2VsZHhMHf-1x7Y/edit?usp=sharing"",""แผน!II88"")"),0)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IFERROR(__xludf.DUMMYFUNCTION("IMPORTRANGE(""https://docs.google.com/spreadsheets/d/1eHaY18a8A9IcSdp1K8H6x8fbOy06t2VsZHhMHf-1x7Y/edit?usp=sharing"",""แผน!IJ88"")"),0)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IFERROR(__xludf.DUMMYFUNCTION("IMPORTRANGE(""https://docs.google.com/spreadsheets/d/1eHaY18a8A9IcSdp1K8H6x8fbOy06t2VsZHhMHf-1x7Y/edit?usp=sharing"",""แผน!IK88"")"),0)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IFERROR(__xludf.DUMMYFUNCTION("IMPORTRANGE(""https://docs.google.com/spreadsheets/d/1tdoBKaGub7dwA3U6UFTqxio9LNnvDCQjHKmttSEBsFQ/edit?usp=sharing"",""จัดที่ดิน!AY88"")"),0)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IFERROR(__xludf.DUMMYFUNCTION("IMPORTRANGE(""https://docs.google.com/spreadsheets/d/1tdoBKaGub7dwA3U6UFTqxio9LNnvDCQjHKmttSEBsFQ/edit?usp=sharing"",""จัดที่ดิน!AZ88"")"),0)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IFERROR(__xludf.DUMMYFUNCTION("IMPORTRANGE(""https://docs.google.com/spreadsheets/d/1eHaY18a8A9IcSdp1K8H6x8fbOy06t2VsZHhMHf-1x7Y/edit?usp=sharing"",""แผน!IL88"")"),0)</f>
        <v>0</v>
      </c>
      <c r="J674" s="152">
        <f ca="1">IFERROR(__xludf.DUMMYFUNCTION("IMPORTRANGE(""https://docs.google.com/spreadsheets/d/1tdoBKaGub7dwA3U6UFTqxio9LNnvDCQjHKmttSEBsFQ/edit?usp=sharing"",""จัดที่ดิน!BA88"")"),0)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IFERROR(__xludf.DUMMYFUNCTION("IMPORTRANGE(""https://docs.google.com/spreadsheets/d/1eHaY18a8A9IcSdp1K8H6x8fbOy06t2VsZHhMHf-1x7Y/edit?usp=sharing"",""แผน!IM88"")"),0)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IFERROR(__xludf.DUMMYFUNCTION("IMPORTRANGE(""https://docs.google.com/spreadsheets/d/1eHaY18a8A9IcSdp1K8H6x8fbOy06t2VsZHhMHf-1x7Y/edit?usp=sharing"",""แผน!IN88"")"),0)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IFERROR(__xludf.DUMMYFUNCTION("IMPORTRANGE(""https://docs.google.com/spreadsheets/d/1eHaY18a8A9IcSdp1K8H6x8fbOy06t2VsZHhMHf-1x7Y/edit?usp=sharing"",""แผน!IO88"")"),0)</f>
        <v>0</v>
      </c>
      <c r="J677" s="152">
        <f ca="1">IFERROR(__xludf.DUMMYFUNCTION("IMPORTRANGE(""https://docs.google.com/spreadsheets/d/1tdoBKaGub7dwA3U6UFTqxio9LNnvDCQjHKmttSEBsFQ/edit?usp=sharing"",""จัดที่ดิน!BF88"")"),0)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IFERROR(__xludf.DUMMYFUNCTION("IMPORTRANGE(""https://docs.google.com/spreadsheets/d/1tdoBKaGub7dwA3U6UFTqxio9LNnvDCQjHKmttSEBsFQ/edit?usp=sharing"",""จัดที่ดิน!BG88"")"),0)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IFERROR(__xludf.DUMMYFUNCTION("IMPORTRANGE(""https://docs.google.com/spreadsheets/d/1eHaY18a8A9IcSdp1K8H6x8fbOy06t2VsZHhMHf-1x7Y/edit?usp=sharing"",""แผน!IP88"")"),0)</f>
        <v>0</v>
      </c>
      <c r="J679" s="152">
        <f ca="1">IFERROR(__xludf.DUMMYFUNCTION("IMPORTRANGE(""https://docs.google.com/spreadsheets/d/1tdoBKaGub7dwA3U6UFTqxio9LNnvDCQjHKmttSEBsFQ/edit?usp=sharing"",""จัดที่ดิน!BH88"")"),0)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IFERROR(__xludf.DUMMYFUNCTION("IMPORTRANGE(""https://docs.google.com/spreadsheets/d/1eHaY18a8A9IcSdp1K8H6x8fbOy06t2VsZHhMHf-1x7Y/edit?usp=sharing"",""แผน!IQ88"")"),0)</f>
        <v>0</v>
      </c>
      <c r="J680" s="152">
        <f ca="1">IFERROR(__xludf.DUMMYFUNCTION("IMPORTRANGE(""https://docs.google.com/spreadsheets/d/1tdoBKaGub7dwA3U6UFTqxio9LNnvDCQjHKmttSEBsFQ/edit?usp=sharing"",""จัดที่ดิน!BK88"")"),0)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IFERROR(__xludf.DUMMYFUNCTION("IMPORTRANGE(""https://docs.google.com/spreadsheets/d/1tdoBKaGub7dwA3U6UFTqxio9LNnvDCQjHKmttSEBsFQ/edit?usp=sharing"",""จัดที่ดิน!BL88"")"),0)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IFERROR(__xludf.DUMMYFUNCTION("IMPORTRANGE(""https://docs.google.com/spreadsheets/d/1eHaY18a8A9IcSdp1K8H6x8fbOy06t2VsZHhMHf-1x7Y/edit?usp=sharing"",""แผน!IR88"")"),0)</f>
        <v>0</v>
      </c>
      <c r="J682" s="152">
        <f ca="1">IFERROR(__xludf.DUMMYFUNCTION("IMPORTRANGE(""https://docs.google.com/spreadsheets/d/1tdoBKaGub7dwA3U6UFTqxio9LNnvDCQjHKmttSEBsFQ/edit?usp=sharing"",""จัดที่ดิน!BM88"")"),0)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IFERROR(__xludf.DUMMYFUNCTION("IMPORTRANGE(""https://docs.google.com/spreadsheets/d/1eHaY18a8A9IcSdp1K8H6x8fbOy06t2VsZHhMHf-1x7Y/edit?usp=sharing"",""แผน!IS88"")"),0)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76940</v>
      </c>
      <c r="R691" s="132">
        <f t="shared" ca="1" si="415"/>
        <v>76940</v>
      </c>
      <c r="S691" s="132">
        <f t="shared" ca="1" si="415"/>
        <v>1750</v>
      </c>
      <c r="T691" s="132">
        <f t="shared" ref="T691:T699" ca="1" si="416">IF(Q691&gt;0,S691*100/Q691,0)</f>
        <v>2.2744996100857811</v>
      </c>
      <c r="U691" s="132">
        <f t="shared" ref="U691:U699" ca="1" si="417">IF(R691&gt;0,S691*100/R691,0)</f>
        <v>2.2744996100857811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76940</v>
      </c>
      <c r="R693" s="46">
        <f t="shared" ca="1" si="419"/>
        <v>76940</v>
      </c>
      <c r="S693" s="46">
        <f t="shared" ca="1" si="419"/>
        <v>1750</v>
      </c>
      <c r="T693" s="46">
        <f t="shared" ca="1" si="416"/>
        <v>2.2744996100857811</v>
      </c>
      <c r="U693" s="46">
        <f t="shared" ca="1" si="417"/>
        <v>2.2744996100857811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76940</v>
      </c>
      <c r="R694" s="46">
        <f t="shared" ca="1" si="421"/>
        <v>76940</v>
      </c>
      <c r="S694" s="46">
        <f t="shared" ca="1" si="421"/>
        <v>1750</v>
      </c>
      <c r="T694" s="46">
        <f t="shared" ca="1" si="416"/>
        <v>2.2744996100857811</v>
      </c>
      <c r="U694" s="46">
        <f t="shared" ca="1" si="417"/>
        <v>2.2744996100857811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6" s="46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6" s="46">
        <f ca="1">IFERROR(__xludf.DUMMYFUNCTION("IMPORTRANGE(""https://docs.google.com/spreadsheets/d/1ItG2mGa2ceCfYo0BwxsXqNm01IGEUdYcSSLTEv9YCik/edit?usp=sharing"",""เบิกจ่ายกองทุน!N88"")"),1750)</f>
        <v>1750</v>
      </c>
      <c r="T696" s="46">
        <f t="shared" ca="1" si="416"/>
        <v>2.2744996100857811</v>
      </c>
      <c r="U696" s="46">
        <f t="shared" ca="1" si="417"/>
        <v>2.2744996100857811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IFERROR(__xludf.DUMMYFUNCTION("IMPORTRANGE(""https://docs.google.com/spreadsheets/d/1eHaY18a8A9IcSdp1K8H6x8fbOy06t2VsZHhMHf-1x7Y/edit?usp=sharing"",""แผน!LC88"")"),0)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5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IFERROR(__xludf.DUMMYFUNCTION("IMPORTRANGE(""https://docs.google.com/spreadsheets/d/1eHaY18a8A9IcSdp1K8H6x8fbOy06t2VsZHhMHf-1x7Y/edit?usp=sharing"",""แผน!LJ88"")"),0)</f>
        <v>0</v>
      </c>
      <c r="J704" s="152">
        <f ca="1">IFERROR(__xludf.DUMMYFUNCTION("IMPORTRANGE(""https://docs.google.com/spreadsheets/d/1tdoBKaGub7dwA3U6UFTqxio9LNnvDCQjHKmttSEBsFQ/edit?usp=sharing"",""จัดที่ดิน!AP88"")"),0)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IFERROR(__xludf.DUMMYFUNCTION("IMPORTRANGE(""https://docs.google.com/spreadsheets/d/1tdoBKaGub7dwA3U6UFTqxio9LNnvDCQjHKmttSEBsFQ/edit?usp=sharing"",""จัดที่ดิน!AQ88"")"),0)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IFERROR(__xludf.DUMMYFUNCTION("IMPORTRANGE(""https://docs.google.com/spreadsheets/d/1eHaY18a8A9IcSdp1K8H6x8fbOy06t2VsZHhMHf-1x7Y/edit?usp=sharing"",""แผน!LK88"")"),5)</f>
        <v>5</v>
      </c>
      <c r="J706" s="152">
        <f ca="1">IFERROR(__xludf.DUMMYFUNCTION("IMPORTRANGE(""https://docs.google.com/spreadsheets/d/1tdoBKaGub7dwA3U6UFTqxio9LNnvDCQjHKmttSEBsFQ/edit?usp=sharing"",""จัดที่ดิน!AR88"")"),0)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IFERROR(__xludf.DUMMYFUNCTION("IMPORTRANGE(""https://docs.google.com/spreadsheets/d/1tdoBKaGub7dwA3U6UFTqxio9LNnvDCQjHKmttSEBsFQ/edit?usp=sharing"",""จัดที่ดิน!AS88"")"),0)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IFERROR(__xludf.DUMMYFUNCTION("IMPORTRANGE(""https://docs.google.com/spreadsheets/d/1eHaY18a8A9IcSdp1K8H6x8fbOy06t2VsZHhMHf-1x7Y/edit?usp=sharing"",""แผน!LJ88"")"),0)</f>
        <v>0</v>
      </c>
      <c r="J708" s="152">
        <f ca="1">IFERROR(__xludf.DUMMYFUNCTION("IMPORTRANGE(""https://docs.google.com/spreadsheets/d/1tdoBKaGub7dwA3U6UFTqxio9LNnvDCQjHKmttSEBsFQ/edit?usp=sharing"",""จัดที่ดิน!BN88"")"),0)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IFERROR(__xludf.DUMMYFUNCTION("IMPORTRANGE(""https://docs.google.com/spreadsheets/d/1tdoBKaGub7dwA3U6UFTqxio9LNnvDCQjHKmttSEBsFQ/edit?usp=sharing"",""จัดที่ดิน!BO88"")"),0)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IFERROR(__xludf.DUMMYFUNCTION("IMPORTRANGE(""https://docs.google.com/spreadsheets/d/1eHaY18a8A9IcSdp1K8H6x8fbOy06t2VsZHhMHf-1x7Y/edit?usp=sharing"",""แผน!LK88"")"),5)</f>
        <v>5</v>
      </c>
      <c r="J710" s="152">
        <f ca="1">IFERROR(__xludf.DUMMYFUNCTION("IMPORTRANGE(""https://docs.google.com/spreadsheets/d/1tdoBKaGub7dwA3U6UFTqxio9LNnvDCQjHKmttSEBsFQ/edit?usp=sharing"",""จัดที่ดิน!BP88"")"),0)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IFERROR(__xludf.DUMMYFUNCTION("IMPORTRANGE(""https://docs.google.com/spreadsheets/d/1tdoBKaGub7dwA3U6UFTqxio9LNnvDCQjHKmttSEBsFQ/edit?usp=sharing"",""จัดที่ดิน!BQ88"")"),0)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IFERROR(__xludf.DUMMYFUNCTION("IMPORTRANGE(""https://docs.google.com/spreadsheets/d/1eHaY18a8A9IcSdp1K8H6x8fbOy06t2VsZHhMHf-1x7Y/edit?usp=sharing"",""แผน!GA88"")"),51)</f>
        <v>51</v>
      </c>
      <c r="J727" s="448">
        <f>J743+J747+J750</f>
        <v>0</v>
      </c>
      <c r="K727" s="449">
        <f t="shared" ref="K727:K728" ca="1" si="438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IFERROR(__xludf.DUMMYFUNCTION("IMPORTRANGE(""https://docs.google.com/spreadsheets/d/1eHaY18a8A9IcSdp1K8H6x8fbOy06t2VsZHhMHf-1x7Y/edit?usp=sharing"",""แผน!FZ88"")"),500)</f>
        <v>500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379090</v>
      </c>
      <c r="R729" s="132">
        <f t="shared" ca="1" si="442"/>
        <v>379090</v>
      </c>
      <c r="S729" s="132">
        <f t="shared" ca="1" si="442"/>
        <v>72566</v>
      </c>
      <c r="T729" s="132">
        <f t="shared" ref="T729:T737" ca="1" si="443">IF(Q729&gt;0,S729*100/Q729,0)</f>
        <v>19.142156216201958</v>
      </c>
      <c r="U729" s="132">
        <f t="shared" ref="U729:U737" ca="1" si="444">IF(R729&gt;0,S729*100/R729,0)</f>
        <v>19.142156216201958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379090</v>
      </c>
      <c r="R731" s="46">
        <f t="shared" ca="1" si="446"/>
        <v>379090</v>
      </c>
      <c r="S731" s="46">
        <f t="shared" ca="1" si="446"/>
        <v>72566</v>
      </c>
      <c r="T731" s="46">
        <f t="shared" ca="1" si="443"/>
        <v>19.142156216201958</v>
      </c>
      <c r="U731" s="46">
        <f t="shared" ca="1" si="444"/>
        <v>19.142156216201958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379090</v>
      </c>
      <c r="R732" s="46">
        <f t="shared" ca="1" si="448"/>
        <v>379090</v>
      </c>
      <c r="S732" s="46">
        <f t="shared" ca="1" si="448"/>
        <v>72566</v>
      </c>
      <c r="T732" s="46">
        <f t="shared" ca="1" si="443"/>
        <v>19.142156216201958</v>
      </c>
      <c r="U732" s="46">
        <f t="shared" ca="1" si="444"/>
        <v>19.142156216201958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4" s="46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4" s="46">
        <f ca="1">IFERROR(__xludf.DUMMYFUNCTION("IMPORTRANGE(""https://docs.google.com/spreadsheets/d/1ItG2mGa2ceCfYo0BwxsXqNm01IGEUdYcSSLTEv9YCik/edit?usp=sharing"",""เบิกจ่ายกองทุน!Q88"")"),72566)</f>
        <v>72566</v>
      </c>
      <c r="T734" s="46">
        <f t="shared" ca="1" si="443"/>
        <v>19.142156216201958</v>
      </c>
      <c r="U734" s="46">
        <f t="shared" ca="1" si="444"/>
        <v>19.142156216201958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IFERROR(__xludf.DUMMYFUNCTION("IMPORTRANGE(""https://docs.google.com/spreadsheets/d/1eHaY18a8A9IcSdp1K8H6x8fbOy06t2VsZHhMHf-1x7Y/edit?usp=sharing"",""แผน!GB88"")"),400)</f>
        <v>400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IFERROR(__xludf.DUMMYFUNCTION("IMPORTRANGE(""https://docs.google.com/spreadsheets/d/1eHaY18a8A9IcSdp1K8H6x8fbOy06t2VsZHhMHf-1x7Y/edit?usp=sharing"",""แผน!GC88"")"),40)</f>
        <v>40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IFERROR(__xludf.DUMMYFUNCTION("IMPORTRANGE(""https://docs.google.com/spreadsheets/d/1eHaY18a8A9IcSdp1K8H6x8fbOy06t2VsZHhMHf-1x7Y/edit?usp=sharing"",""แผน!GD88"")"),100)</f>
        <v>100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IFERROR(__xludf.DUMMYFUNCTION("IMPORTRANGE(""https://docs.google.com/spreadsheets/d/1eHaY18a8A9IcSdp1K8H6x8fbOy06t2VsZHhMHf-1x7Y/edit?usp=sharing"",""แผน!GE88"")"),10)</f>
        <v>10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IFERROR(__xludf.DUMMYFUNCTION("IMPORTRANGE(""https://docs.google.com/spreadsheets/d/1eHaY18a8A9IcSdp1K8H6x8fbOy06t2VsZHhMHf-1x7Y/edit?usp=sharing"",""แผน!GF88"")"),1)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IFERROR(__xludf.DUMMYFUNCTION("IMPORTRANGE(""https://docs.google.com/spreadsheets/d/1eHaY18a8A9IcSdp1K8H6x8fbOy06t2VsZHhMHf-1x7Y/edit?usp=sharing"",""แผน!GB88"")"),400)</f>
        <v>400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IFERROR(__xludf.DUMMYFUNCTION("IMPORTRANGE(""https://docs.google.com/spreadsheets/d/1eHaY18a8A9IcSdp1K8H6x8fbOy06t2VsZHhMHf-1x7Y/edit?usp=sharing"",""แผน!GD88"")"),100)</f>
        <v>100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40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80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338980</v>
      </c>
      <c r="R761" s="132">
        <f t="shared" ca="1" si="457"/>
        <v>338980</v>
      </c>
      <c r="S761" s="132">
        <f t="shared" ca="1" si="457"/>
        <v>60899</v>
      </c>
      <c r="T761" s="132">
        <f t="shared" ref="T761:T769" ca="1" si="458">IF(Q761&gt;0,S761*100/Q761,0)</f>
        <v>17.965366688300193</v>
      </c>
      <c r="U761" s="132">
        <f t="shared" ref="U761:U769" ca="1" si="459">IF(R761&gt;0,S761*100/R761,0)</f>
        <v>17.965366688300193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338980</v>
      </c>
      <c r="R763" s="46">
        <f t="shared" ca="1" si="461"/>
        <v>338980</v>
      </c>
      <c r="S763" s="46">
        <f t="shared" ca="1" si="461"/>
        <v>60899</v>
      </c>
      <c r="T763" s="46">
        <f t="shared" ca="1" si="458"/>
        <v>17.965366688300193</v>
      </c>
      <c r="U763" s="46">
        <f t="shared" ca="1" si="459"/>
        <v>17.965366688300193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338980</v>
      </c>
      <c r="R764" s="46">
        <f t="shared" ca="1" si="463"/>
        <v>338980</v>
      </c>
      <c r="S764" s="46">
        <f t="shared" ca="1" si="463"/>
        <v>60899</v>
      </c>
      <c r="T764" s="46">
        <f t="shared" ca="1" si="458"/>
        <v>17.965366688300193</v>
      </c>
      <c r="U764" s="46">
        <f t="shared" ca="1" si="459"/>
        <v>17.965366688300193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IFERROR(__xludf.DUMMYFUNCTION("IMPORTRANGE(""https://docs.google.com/spreadsheets/d/1ItG2mGa2ceCfYo0BwxsXqNm01IGEUdYcSSLTEv9YCik/edit?usp=sharing"",""เบิกจ่ายกองทุน!U88"")"),338980)</f>
        <v>338980</v>
      </c>
      <c r="R766" s="46">
        <f ca="1">IFERROR(__xludf.DUMMYFUNCTION("IMPORTRANGE(""https://docs.google.com/spreadsheets/d/1ItG2mGa2ceCfYo0BwxsXqNm01IGEUdYcSSLTEv9YCik/edit?usp=sharing"",""เบิกจ่ายกองทุน!V88"")"),338980)</f>
        <v>338980</v>
      </c>
      <c r="S766" s="46">
        <f ca="1">IFERROR(__xludf.DUMMYFUNCTION("IMPORTRANGE(""https://docs.google.com/spreadsheets/d/1ItG2mGa2ceCfYo0BwxsXqNm01IGEUdYcSSLTEv9YCik/edit?usp=sharing"",""เบิกจ่ายกองทุน!W88"")"),60899)</f>
        <v>60899</v>
      </c>
      <c r="T766" s="46">
        <f t="shared" ca="1" si="458"/>
        <v>17.965366688300193</v>
      </c>
      <c r="U766" s="46">
        <f t="shared" ca="1" si="459"/>
        <v>17.965366688300193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IFERROR(__xludf.DUMMYFUNCTION("IMPORTRANGE(""https://docs.google.com/spreadsheets/d/1eHaY18a8A9IcSdp1K8H6x8fbOy06t2VsZHhMHf-1x7Y/edit?usp=sharing"",""แผน!FI88"")"),0)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IFERROR(__xludf.DUMMYFUNCTION("IMPORTRANGE(""https://docs.google.com/spreadsheets/d/1eHaY18a8A9IcSdp1K8H6x8fbOy06t2VsZHhMHf-1x7Y/edit?usp=sharing"",""แผน!FQ88"")"),40)</f>
        <v>40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IFERROR(__xludf.DUMMYFUNCTION("IMPORTRANGE(""https://docs.google.com/spreadsheets/d/1eHaY18a8A9IcSdp1K8H6x8fbOy06t2VsZHhMHf-1x7Y/edit?usp=sharing"",""แผน!FR88"")"),80)</f>
        <v>80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IFERROR(__xludf.DUMMYFUNCTION("IMPORTRANGE(""https://docs.google.com/spreadsheets/d/1eHaY18a8A9IcSdp1K8H6x8fbOy06t2VsZHhMHf-1x7Y/edit?usp=sharing"",""แผน!FS88"")"),80)</f>
        <v>80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IFERROR(__xludf.DUMMYFUNCTION("IMPORTRANGE(""https://docs.google.com/spreadsheets/d/1eHaY18a8A9IcSdp1K8H6x8fbOy06t2VsZHhMHf-1x7Y/edit?usp=sharing"",""แผน!FT88"")"),40)</f>
        <v>40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IFERROR(__xludf.DUMMYFUNCTION("IMPORTRANGE(""https://docs.google.com/spreadsheets/d/10OvvATaaLtwErnr3qtWFcTmtbfpFEt5Bsqel9sXx0uE/edit?usp=sharing"",""งานกองทุน!D88"")"),2766017.39)</f>
        <v>2766017.39</v>
      </c>
      <c r="J779" s="152">
        <f ca="1">IFERROR(__xludf.DUMMYFUNCTION("IMPORTRANGE(""https://docs.google.com/spreadsheets/d/10OvvATaaLtwErnr3qtWFcTmtbfpFEt5Bsqel9sXx0uE/edit?usp=sharing"",""งานกองทุน!F88"")"),138419.28)</f>
        <v>138419.28</v>
      </c>
      <c r="K779" s="46">
        <f t="shared" ref="K779:K786" ca="1" si="466">IF(I779&gt;0,J779*100/I779,0)</f>
        <v>5.0042809022252746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IFERROR(__xludf.DUMMYFUNCTION("IMPORTRANGE(""https://docs.google.com/spreadsheets/d/10OvvATaaLtwErnr3qtWFcTmtbfpFEt5Bsqel9sXx0uE/edit?usp=sharing"",""งานกองทุน!C88"")"),175)</f>
        <v>175</v>
      </c>
      <c r="J780" s="152">
        <f ca="1">IFERROR(__xludf.DUMMYFUNCTION("IMPORTRANGE(""https://docs.google.com/spreadsheets/d/10OvvATaaLtwErnr3qtWFcTmtbfpFEt5Bsqel9sXx0uE/edit?usp=sharing"",""งานกองทุน!E88"")"),10)</f>
        <v>10</v>
      </c>
      <c r="K780" s="46">
        <f t="shared" ca="1" si="466"/>
        <v>5.7142857142857144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1" s="152">
        <f ca="1">IFERROR(__xludf.DUMMYFUNCTION("IMPORTRANGE(""https://docs.google.com/spreadsheets/d/10OvvATaaLtwErnr3qtWFcTmtbfpFEt5Bsqel9sXx0uE/edit?usp=sharing"",""งานกองทุน!K88"")"),133755.45)</f>
        <v>133755.45000000001</v>
      </c>
      <c r="K781" s="46">
        <f t="shared" ca="1" si="466"/>
        <v>8.3605127998954707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IFERROR(__xludf.DUMMYFUNCTION("IMPORTRANGE(""https://docs.google.com/spreadsheets/d/10OvvATaaLtwErnr3qtWFcTmtbfpFEt5Bsqel9sXx0uE/edit?usp=sharing"",""งานกองทุน!H88"")"),59)</f>
        <v>59</v>
      </c>
      <c r="J782" s="152">
        <f ca="1">IFERROR(__xludf.DUMMYFUNCTION("IMPORTRANGE(""https://docs.google.com/spreadsheets/d/10OvvATaaLtwErnr3qtWFcTmtbfpFEt5Bsqel9sXx0uE/edit?usp=sharing"",""งานกองทุน!J88"")"),39)</f>
        <v>39</v>
      </c>
      <c r="K782" s="46">
        <f t="shared" ca="1" si="466"/>
        <v>66.101694915254242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IFERROR(__xludf.DUMMYFUNCTION("IMPORTRANGE(""https://docs.google.com/spreadsheets/d/10OvvATaaLtwErnr3qtWFcTmtbfpFEt5Bsqel9sXx0uE/edit?usp=sharing"",""งานกองทุน!N88"")"),153556)</f>
        <v>153556</v>
      </c>
      <c r="J783" s="152">
        <f ca="1">IFERROR(__xludf.DUMMYFUNCTION("IMPORTRANGE(""https://docs.google.com/spreadsheets/d/10OvvATaaLtwErnr3qtWFcTmtbfpFEt5Bsqel9sXx0uE/edit?usp=sharing"",""งานกองทุน!P88"")"),46626)</f>
        <v>46626</v>
      </c>
      <c r="K783" s="46">
        <f t="shared" ca="1" si="466"/>
        <v>30.364166818619918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IFERROR(__xludf.DUMMYFUNCTION("IMPORTRANGE(""https://docs.google.com/spreadsheets/d/10OvvATaaLtwErnr3qtWFcTmtbfpFEt5Bsqel9sXx0uE/edit?usp=sharing"",""งานกองทุน!M88"")"),114)</f>
        <v>114</v>
      </c>
      <c r="J784" s="152">
        <f ca="1">IFERROR(__xludf.DUMMYFUNCTION("IMPORTRANGE(""https://docs.google.com/spreadsheets/d/10OvvATaaLtwErnr3qtWFcTmtbfpFEt5Bsqel9sXx0uE/edit?usp=sharing"",""งานกองทุน!O88"")"),27)</f>
        <v>27</v>
      </c>
      <c r="K784" s="46">
        <f t="shared" ca="1" si="466"/>
        <v>23.684210526315791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IFERROR(__xludf.DUMMYFUNCTION("IMPORTRANGE(""https://docs.google.com/spreadsheets/d/10OvvATaaLtwErnr3qtWFcTmtbfpFEt5Bsqel9sXx0uE/edit?usp=sharing"",""งานกองทุน!S88"")"),3724000)</f>
        <v>3724000</v>
      </c>
      <c r="J785" s="152">
        <f ca="1">IFERROR(__xludf.DUMMYFUNCTION("IMPORTRANGE(""https://docs.google.com/spreadsheets/d/10OvvATaaLtwErnr3qtWFcTmtbfpFEt5Bsqel9sXx0uE/edit?usp=sharing"",""งานกองทุน!U88"")"),2350000)</f>
        <v>2350000</v>
      </c>
      <c r="K785" s="46">
        <f t="shared" ca="1" si="466"/>
        <v>63.104189044038669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IFERROR(__xludf.DUMMYFUNCTION("IMPORTRANGE(""https://docs.google.com/spreadsheets/d/10OvvATaaLtwErnr3qtWFcTmtbfpFEt5Bsqel9sXx0uE/edit?usp=sharing"",""งานกองทุน!R88"")"),133)</f>
        <v>133</v>
      </c>
      <c r="J786" s="204">
        <f ca="1">IFERROR(__xludf.DUMMYFUNCTION("IMPORTRANGE(""https://docs.google.com/spreadsheets/d/10OvvATaaLtwErnr3qtWFcTmtbfpFEt5Bsqel9sXx0uE/edit?usp=sharing"",""งานกองทุน!T88"")"),47)</f>
        <v>47</v>
      </c>
      <c r="K786" s="110">
        <f t="shared" ca="1" si="466"/>
        <v>35.338345864661655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7A1E-8956-4478-B053-031D7E0DD40D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2" width="23" bestFit="1" customWidth="1"/>
    <col min="13" max="14" width="21.28515625" bestFit="1" customWidth="1"/>
    <col min="15" max="16" width="12.5703125" bestFit="1" customWidth="1"/>
    <col min="17" max="18" width="21.28515625" bestFit="1" customWidth="1"/>
    <col min="19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297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14127360</v>
      </c>
      <c r="M19" s="34">
        <f t="shared" ca="1" si="0"/>
        <v>1850290</v>
      </c>
      <c r="N19" s="34">
        <f t="shared" ca="1" si="0"/>
        <v>1275394.25</v>
      </c>
      <c r="O19" s="34">
        <f t="shared" ref="O19:O27" ca="1" si="1">IF(L19&gt;0,N19*100/L19,0)</f>
        <v>9.0278314561248525</v>
      </c>
      <c r="P19" s="34">
        <f t="shared" ref="P19:P27" ca="1" si="2">IF(M19&gt;0,N19*100/M19,0)</f>
        <v>68.929424576687978</v>
      </c>
      <c r="Q19" s="34">
        <f t="shared" ref="Q19:S19" ca="1" si="3">Q20+Q21</f>
        <v>1874968</v>
      </c>
      <c r="R19" s="34">
        <f t="shared" ca="1" si="3"/>
        <v>1844868</v>
      </c>
      <c r="S19" s="34">
        <f t="shared" ca="1" si="3"/>
        <v>143486.59</v>
      </c>
      <c r="T19" s="34">
        <f t="shared" ref="T19:T27" ca="1" si="4">IF(Q19&gt;0,S19*100/Q19,0)</f>
        <v>7.6527487402451673</v>
      </c>
      <c r="U19" s="34">
        <f t="shared" ref="U19:U27" ca="1" si="5">IF(R19&gt;0,S19*100/R19,0)</f>
        <v>7.7776073952174354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14127360</v>
      </c>
      <c r="M21" s="38">
        <f t="shared" ca="1" si="6"/>
        <v>1850290</v>
      </c>
      <c r="N21" s="38">
        <f t="shared" ca="1" si="6"/>
        <v>1275394.25</v>
      </c>
      <c r="O21" s="38">
        <f t="shared" ca="1" si="1"/>
        <v>9.0278314561248525</v>
      </c>
      <c r="P21" s="38">
        <f t="shared" ca="1" si="2"/>
        <v>68.929424576687978</v>
      </c>
      <c r="Q21" s="38">
        <f t="shared" ca="1" si="7"/>
        <v>1874968</v>
      </c>
      <c r="R21" s="38">
        <f t="shared" ca="1" si="7"/>
        <v>1844868</v>
      </c>
      <c r="S21" s="38">
        <f t="shared" ca="1" si="7"/>
        <v>143486.59</v>
      </c>
      <c r="T21" s="38">
        <f t="shared" ca="1" si="4"/>
        <v>7.6527487402451673</v>
      </c>
      <c r="U21" s="38">
        <f t="shared" ca="1" si="5"/>
        <v>7.7776073952174354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1681960</v>
      </c>
      <c r="M22" s="46">
        <f t="shared" ca="1" si="8"/>
        <v>1850290</v>
      </c>
      <c r="N22" s="46">
        <f t="shared" ca="1" si="8"/>
        <v>1275394.25</v>
      </c>
      <c r="O22" s="46">
        <f t="shared" ca="1" si="1"/>
        <v>75.827858569763848</v>
      </c>
      <c r="P22" s="46">
        <f t="shared" ca="1" si="2"/>
        <v>68.929424576687978</v>
      </c>
      <c r="Q22" s="46">
        <f t="shared" ref="Q22:S22" ca="1" si="9">Q23+Q24</f>
        <v>1874968</v>
      </c>
      <c r="R22" s="46">
        <f t="shared" ca="1" si="9"/>
        <v>1844868</v>
      </c>
      <c r="S22" s="46">
        <f t="shared" ca="1" si="9"/>
        <v>143486.59</v>
      </c>
      <c r="T22" s="46">
        <f t="shared" ca="1" si="4"/>
        <v>7.6527487402451673</v>
      </c>
      <c r="U22" s="46">
        <f t="shared" ca="1" si="5"/>
        <v>7.7776073952174354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1681960</v>
      </c>
      <c r="M24" s="46">
        <f t="shared" ca="1" si="10"/>
        <v>1850290</v>
      </c>
      <c r="N24" s="46">
        <f t="shared" ca="1" si="10"/>
        <v>1275394.25</v>
      </c>
      <c r="O24" s="46">
        <f t="shared" ca="1" si="1"/>
        <v>75.827858569763848</v>
      </c>
      <c r="P24" s="46">
        <f t="shared" ca="1" si="2"/>
        <v>68.929424576687978</v>
      </c>
      <c r="Q24" s="46">
        <f t="shared" ca="1" si="11"/>
        <v>1874968</v>
      </c>
      <c r="R24" s="46">
        <f t="shared" ca="1" si="11"/>
        <v>1844868</v>
      </c>
      <c r="S24" s="46">
        <f t="shared" ca="1" si="11"/>
        <v>143486.59</v>
      </c>
      <c r="T24" s="46">
        <f t="shared" ca="1" si="4"/>
        <v>7.6527487402451673</v>
      </c>
      <c r="U24" s="46">
        <f t="shared" ca="1" si="5"/>
        <v>7.7776073952174354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12445400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12445400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1681960</v>
      </c>
      <c r="M41" s="525">
        <f t="shared" ca="1" si="16"/>
        <v>1850290</v>
      </c>
      <c r="N41" s="525">
        <f t="shared" ca="1" si="16"/>
        <v>1275394.25</v>
      </c>
      <c r="O41" s="525">
        <f ca="1">IF(L41&gt;0,N41*100/L41,0)</f>
        <v>75.827858569763848</v>
      </c>
      <c r="P41" s="525">
        <f ca="1">IF(M41&gt;0,N41*100/M41,0)</f>
        <v>68.929424576687978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360820</v>
      </c>
      <c r="M45" s="78">
        <f t="shared" ca="1" si="17"/>
        <v>394490</v>
      </c>
      <c r="N45" s="78">
        <f t="shared" ca="1" si="17"/>
        <v>292472</v>
      </c>
      <c r="O45" s="78">
        <f t="shared" ref="O45:O53" ca="1" si="18">IF(L45&gt;0,N45*100/L45,0)</f>
        <v>81.057591042625134</v>
      </c>
      <c r="P45" s="78">
        <f t="shared" ref="P45:P53" ca="1" si="19">IF(M45&gt;0,N45*100/M45,0)</f>
        <v>74.139268422520217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360820</v>
      </c>
      <c r="M47" s="82">
        <f t="shared" ca="1" si="23"/>
        <v>394490</v>
      </c>
      <c r="N47" s="82">
        <f t="shared" ca="1" si="23"/>
        <v>292472</v>
      </c>
      <c r="O47" s="82">
        <f t="shared" ca="1" si="18"/>
        <v>81.057591042625134</v>
      </c>
      <c r="P47" s="82">
        <f t="shared" ca="1" si="19"/>
        <v>74.139268422520217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360820</v>
      </c>
      <c r="M48" s="46">
        <f t="shared" ca="1" si="25"/>
        <v>394490</v>
      </c>
      <c r="N48" s="46">
        <f t="shared" ca="1" si="25"/>
        <v>292472</v>
      </c>
      <c r="O48" s="46">
        <f t="shared" ca="1" si="18"/>
        <v>81.057591042625134</v>
      </c>
      <c r="P48" s="46">
        <f t="shared" ca="1" si="19"/>
        <v>74.139268422520217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IFERROR(__xludf.DUMMYFUNCTION("IMPORTRANGE(""https://docs.google.com/spreadsheets/d/1-uDff_7J0KD5mKrp0Vvzr7lt3OU09vwQwhkpOPPYv2Y/edit?usp=sharing"",""งบพรบ!P75"")"),360820)</f>
        <v>360820</v>
      </c>
      <c r="M50" s="46">
        <f ca="1">IFERROR(__xludf.DUMMYFUNCTION("IMPORTRANGE(""https://docs.google.com/spreadsheets/d/1-uDff_7J0KD5mKrp0Vvzr7lt3OU09vwQwhkpOPPYv2Y/edit?usp=sharing"",""งบพรบ!V75"")"),394490)</f>
        <v>394490</v>
      </c>
      <c r="N50" s="46">
        <f ca="1">IFERROR(__xludf.DUMMYFUNCTION("IMPORTRANGE(""https://docs.google.com/spreadsheets/d/1-uDff_7J0KD5mKrp0Vvzr7lt3OU09vwQwhkpOPPYv2Y/edit?usp=sharing"",""งบพรบ!Y75"")"),292472)</f>
        <v>292472</v>
      </c>
      <c r="O50" s="46">
        <f t="shared" ca="1" si="18"/>
        <v>81.057591042625134</v>
      </c>
      <c r="P50" s="46">
        <f t="shared" ca="1" si="19"/>
        <v>74.139268422520217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IFERROR(__xludf.DUMMYFUNCTION("IMPORTRANGE(""https://docs.google.com/spreadsheets/d/1-uDff_7J0KD5mKrp0Vvzr7lt3OU09vwQwhkpOPPYv2Y/edit?usp=sharing"",""งบพรบ!S75"")"),0)</f>
        <v>0</v>
      </c>
      <c r="M53" s="46">
        <f ca="1">IFERROR(__xludf.DUMMYFUNCTION("IMPORTRANGE(""https://docs.google.com/spreadsheets/d/1-uDff_7J0KD5mKrp0Vvzr7lt3OU09vwQwhkpOPPYv2Y/edit?usp=sharing"",""งบพรบ!W75"")"),0)</f>
        <v>0</v>
      </c>
      <c r="N53" s="46">
        <f ca="1">IFERROR(__xludf.DUMMYFUNCTION("IMPORTRANGE(""https://docs.google.com/spreadsheets/d/1-uDff_7J0KD5mKrp0Vvzr7lt3OU09vwQwhkpOPPYv2Y/edit?usp=sharing"",""งบพรบ!Z75"")"),0)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444800</v>
      </c>
      <c r="M60" s="105">
        <f t="shared" ca="1" si="29"/>
        <v>444800</v>
      </c>
      <c r="N60" s="105">
        <f t="shared" ca="1" si="29"/>
        <v>360399.01</v>
      </c>
      <c r="O60" s="105">
        <f t="shared" ref="O60:O68" ca="1" si="30">IF(L60&gt;0,N60*100/L60,0)</f>
        <v>81.024957284172658</v>
      </c>
      <c r="P60" s="105">
        <f t="shared" ref="P60:P68" ca="1" si="31">IF(M60&gt;0,N60*100/M60,0)</f>
        <v>81.024957284172658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444800</v>
      </c>
      <c r="M62" s="108">
        <f t="shared" ca="1" si="35"/>
        <v>444800</v>
      </c>
      <c r="N62" s="108">
        <f t="shared" ca="1" si="35"/>
        <v>360399.01</v>
      </c>
      <c r="O62" s="108">
        <f t="shared" ca="1" si="30"/>
        <v>81.024957284172658</v>
      </c>
      <c r="P62" s="108">
        <f t="shared" ca="1" si="31"/>
        <v>81.024957284172658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444800</v>
      </c>
      <c r="M63" s="46">
        <f t="shared" ca="1" si="37"/>
        <v>444800</v>
      </c>
      <c r="N63" s="46">
        <f t="shared" ca="1" si="37"/>
        <v>360399.01</v>
      </c>
      <c r="O63" s="46">
        <f t="shared" ca="1" si="30"/>
        <v>81.024957284172658</v>
      </c>
      <c r="P63" s="46">
        <f t="shared" ca="1" si="31"/>
        <v>81.024957284172658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IFERROR(__xludf.DUMMYFUNCTION("IMPORTRANGE(""https://docs.google.com/spreadsheets/d/1-uDff_7J0KD5mKrp0Vvzr7lt3OU09vwQwhkpOPPYv2Y/edit?usp=sharing"",""งบพรบ!AC75"")"),444800)</f>
        <v>444800</v>
      </c>
      <c r="M65" s="46">
        <f ca="1">IFERROR(__xludf.DUMMYFUNCTION("IMPORTRANGE(""https://docs.google.com/spreadsheets/d/1-uDff_7J0KD5mKrp0Vvzr7lt3OU09vwQwhkpOPPYv2Y/edit?usp=sharing"",""งบพรบ!AH75"")"),444800)</f>
        <v>444800</v>
      </c>
      <c r="N65" s="46">
        <f ca="1">IFERROR(__xludf.DUMMYFUNCTION("IMPORTRANGE(""https://docs.google.com/spreadsheets/d/1-uDff_7J0KD5mKrp0Vvzr7lt3OU09vwQwhkpOPPYv2Y/edit?usp=sharing"",""งบพรบ!AJ75"")"),360399.01)</f>
        <v>360399.01</v>
      </c>
      <c r="O65" s="46">
        <f t="shared" ca="1" si="30"/>
        <v>81.024957284172658</v>
      </c>
      <c r="P65" s="46">
        <f t="shared" ca="1" si="31"/>
        <v>81.024957284172658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IFERROR(__xludf.DUMMYFUNCTION("IMPORTRANGE(""https://docs.google.com/spreadsheets/d/1-uDff_7J0KD5mKrp0Vvzr7lt3OU09vwQwhkpOPPYv2Y/edit?usp=sharing"",""งบพรบ!AF75"")"),0)</f>
        <v>0</v>
      </c>
      <c r="M68" s="110">
        <f ca="1">IFERROR(__xludf.DUMMYFUNCTION("IMPORTRANGE(""https://docs.google.com/spreadsheets/d/1-uDff_7J0KD5mKrp0Vvzr7lt3OU09vwQwhkpOPPYv2Y/edit?usp=sharing"",""งบพรบ!AI75"")"),0)</f>
        <v>0</v>
      </c>
      <c r="N68" s="110">
        <f ca="1">IFERROR(__xludf.DUMMYFUNCTION("IMPORTRANGE(""https://docs.google.com/spreadsheets/d/1-uDff_7J0KD5mKrp0Vvzr7lt3OU09vwQwhkpOPPYv2Y/edit?usp=sharing"",""งบพรบ!AK75"")"),0)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IFERROR(__xludf.DUMMYFUNCTION("IMPORTRANGE(""https://docs.google.com/spreadsheets/d/1-uDff_7J0KD5mKrp0Vvzr7lt3OU09vwQwhkpOPPYv2Y/edit?usp=sharing"",""งบพรบ!AM75"")"),0)</f>
        <v>0</v>
      </c>
      <c r="M78" s="46">
        <f ca="1">IFERROR(__xludf.DUMMYFUNCTION("IMPORTRANGE(""https://docs.google.com/spreadsheets/d/1-uDff_7J0KD5mKrp0Vvzr7lt3OU09vwQwhkpOPPYv2Y/edit?usp=sharing"",""งบพรบ!AR75"")"),0)</f>
        <v>0</v>
      </c>
      <c r="N78" s="46">
        <f ca="1">IFERROR(__xludf.DUMMYFUNCTION("IMPORTRANGE(""https://docs.google.com/spreadsheets/d/1-uDff_7J0KD5mKrp0Vvzr7lt3OU09vwQwhkpOPPYv2Y/edit?usp=sharing"",""งบพรบ!AT75"")"),0)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IFERROR(__xludf.DUMMYFUNCTION("IMPORTRANGE(""https://docs.google.com/spreadsheets/d/1ItG2mGa2ceCfYo0BwxsXqNm01IGEUdYcSSLTEv9YCik/edit?usp=sharing"",""เบิกจ่ายกองทุน!AS75"")"),0)</f>
        <v>0</v>
      </c>
      <c r="R78" s="46">
        <f ca="1">IFERROR(__xludf.DUMMYFUNCTION("IMPORTRANGE(""https://docs.google.com/spreadsheets/d/1ItG2mGa2ceCfYo0BwxsXqNm01IGEUdYcSSLTEv9YCik/edit?usp=sharing"",""เบิกจ่ายกองทุน!AT75"")"),0)</f>
        <v>0</v>
      </c>
      <c r="S78" s="46">
        <f ca="1">IFERROR(__xludf.DUMMYFUNCTION("IMPORTRANGE(""https://docs.google.com/spreadsheets/d/1ItG2mGa2ceCfYo0BwxsXqNm01IGEUdYcSSLTEv9YCik/edit?usp=sharing"",""เบิกจ่ายกองทุน!AU75"")"),0)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IFERROR(__xludf.DUMMYFUNCTION("IMPORTRANGE(""https://docs.google.com/spreadsheets/d/1-uDff_7J0KD5mKrp0Vvzr7lt3OU09vwQwhkpOPPYv2Y/edit?usp=sharing"",""งบพรบ!AP75"")"),0)</f>
        <v>0</v>
      </c>
      <c r="M81" s="46">
        <f ca="1">IFERROR(__xludf.DUMMYFUNCTION("IMPORTRANGE(""https://docs.google.com/spreadsheets/d/1-uDff_7J0KD5mKrp0Vvzr7lt3OU09vwQwhkpOPPYv2Y/edit?usp=sharing"",""งบพรบ!AS75"")"),0)</f>
        <v>0</v>
      </c>
      <c r="N81" s="46">
        <f ca="1">IFERROR(__xludf.DUMMYFUNCTION("IMPORTRANGE(""https://docs.google.com/spreadsheets/d/1-uDff_7J0KD5mKrp0Vvzr7lt3OU09vwQwhkpOPPYv2Y/edit?usp=sharing"",""งบพรบ!AU75"")"),0)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IFERROR(__xludf.DUMMYFUNCTION("IMPORTRANGE(""https://docs.google.com/spreadsheets/d/1eHaY18a8A9IcSdp1K8H6x8fbOy06t2VsZHhMHf-1x7Y/edit?usp=sharing"",""แผน!H75"")"),0)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IFERROR(__xludf.DUMMYFUNCTION("IMPORTRANGE(""https://docs.google.com/spreadsheets/d/1eHaY18a8A9IcSdp1K8H6x8fbOy06t2VsZHhMHf-1x7Y/edit?usp=sharing"",""แผน!I75"")"),0)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IFERROR(__xludf.DUMMYFUNCTION("IMPORTRANGE(""https://docs.google.com/spreadsheets/d/1eHaY18a8A9IcSdp1K8H6x8fbOy06t2VsZHhMHf-1x7Y/edit?usp=sharing"",""แผน!F75"")"),0)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IFERROR(__xludf.DUMMYFUNCTION("IMPORTRANGE(""https://docs.google.com/spreadsheets/d/1eHaY18a8A9IcSdp1K8H6x8fbOy06t2VsZHhMHf-1x7Y/edit?usp=sharing"",""แผน!G75"")"),0)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IFERROR(__xludf.DUMMYFUNCTION("IMPORTRANGE(""https://docs.google.com/spreadsheets/d/1eHaY18a8A9IcSdp1K8H6x8fbOy06t2VsZHhMHf-1x7Y/edit?usp=sharing"",""แผน!D75"")"),0)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IFERROR(__xludf.DUMMYFUNCTION("IMPORTRANGE(""https://docs.google.com/spreadsheets/d/1eHaY18a8A9IcSdp1K8H6x8fbOy06t2VsZHhMHf-1x7Y/edit?usp=sharing"",""แผน!E75"")"),0)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IFERROR(__xludf.DUMMYFUNCTION("IMPORTRANGE(""https://docs.google.com/spreadsheets/d/1eHaY18a8A9IcSdp1K8H6x8fbOy06t2VsZHhMHf-1x7Y/edit?usp=sharing"",""แผน!J75"")"),0)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IFERROR(__xludf.DUMMYFUNCTION("IMPORTRANGE(""https://docs.google.com/spreadsheets/d/1-uDff_7J0KD5mKrp0Vvzr7lt3OU09vwQwhkpOPPYv2Y/edit?usp=sharing"",""งบพรบ!AW75"")"),0)</f>
        <v>0</v>
      </c>
      <c r="M100" s="46">
        <f ca="1">IFERROR(__xludf.DUMMYFUNCTION("IMPORTRANGE(""https://docs.google.com/spreadsheets/d/1-uDff_7J0KD5mKrp0Vvzr7lt3OU09vwQwhkpOPPYv2Y/edit?usp=sharing"",""งบพรบ!BB75"")"),0)</f>
        <v>0</v>
      </c>
      <c r="N100" s="46">
        <f ca="1">IFERROR(__xludf.DUMMYFUNCTION("IMPORTRANGE(""https://docs.google.com/spreadsheets/d/1-uDff_7J0KD5mKrp0Vvzr7lt3OU09vwQwhkpOPPYv2Y/edit?usp=sharing"",""งบพรบ!BD75"")"),0)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IFERROR(__xludf.DUMMYFUNCTION("IMPORTRANGE(""https://docs.google.com/spreadsheets/d/1ItG2mGa2ceCfYo0BwxsXqNm01IGEUdYcSSLTEv9YCik/edit?usp=sharing"",""เบิกจ่ายกองทุน!AD75"")"),0)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IFERROR(__xludf.DUMMYFUNCTION("IMPORTRANGE(""https://docs.google.com/spreadsheets/d/1ItG2mGa2ceCfYo0BwxsXqNm01IGEUdYcSSLTEv9YCik/edit?usp=sharing"",""เบิกจ่ายกองทุน!AE75"")"),0)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IFERROR(__xludf.DUMMYFUNCTION("IMPORTRANGE(""https://docs.google.com/spreadsheets/d/1ItG2mGa2ceCfYo0BwxsXqNm01IGEUdYcSSLTEv9YCik/edit?usp=sharing"",""เบิกจ่ายกองทุน!AF75"")"),0)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IFERROR(__xludf.DUMMYFUNCTION("IMPORTRANGE(""https://docs.google.com/spreadsheets/d/1-uDff_7J0KD5mKrp0Vvzr7lt3OU09vwQwhkpOPPYv2Y/edit?usp=sharing"",""งบพรบ!AZ75"")"),0)</f>
        <v>0</v>
      </c>
      <c r="M103" s="46">
        <f ca="1">IFERROR(__xludf.DUMMYFUNCTION("IMPORTRANGE(""https://docs.google.com/spreadsheets/d/1-uDff_7J0KD5mKrp0Vvzr7lt3OU09vwQwhkpOPPYv2Y/edit?usp=sharing"",""งบพรบ!BC75"")"),0)</f>
        <v>0</v>
      </c>
      <c r="N103" s="46">
        <f ca="1">IFERROR(__xludf.DUMMYFUNCTION("IMPORTRANGE(""https://docs.google.com/spreadsheets/d/1-uDff_7J0KD5mKrp0Vvzr7lt3OU09vwQwhkpOPPYv2Y/edit?usp=sharing"",""งบพรบ!BE75"")"),0)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IFERROR(__xludf.DUMMYFUNCTION("IMPORTRANGE(""https://docs.google.com/spreadsheets/d/1eHaY18a8A9IcSdp1K8H6x8fbOy06t2VsZHhMHf-1x7Y/edit?usp=sharing"",""แผน!N75"")"),0)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IFERROR(__xludf.DUMMYFUNCTION("IMPORTRANGE(""https://docs.google.com/spreadsheets/d/1eHaY18a8A9IcSdp1K8H6x8fbOy06t2VsZHhMHf-1x7Y/edit?usp=sharing"",""แผน!O75"")"),0)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IFERROR(__xludf.DUMMYFUNCTION("IMPORTRANGE(""https://docs.google.com/spreadsheets/d/1eHaY18a8A9IcSdp1K8H6x8fbOy06t2VsZHhMHf-1x7Y/edit?usp=sharing"",""แผน!R75"")"),0)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15</v>
      </c>
      <c r="J117" s="127">
        <f t="shared" si="72"/>
        <v>0</v>
      </c>
      <c r="K117" s="34">
        <f ca="1">IF(I117&gt;0,J117*100/I117,0)</f>
        <v>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191460</v>
      </c>
      <c r="R118" s="132">
        <f t="shared" ca="1" si="76"/>
        <v>191460</v>
      </c>
      <c r="S118" s="132">
        <f t="shared" ca="1" si="76"/>
        <v>68066</v>
      </c>
      <c r="T118" s="132">
        <f t="shared" ref="T118:T126" ca="1" si="77">IF(Q118&gt;0,S118*100/Q118,0)</f>
        <v>35.551028935547897</v>
      </c>
      <c r="U118" s="132">
        <f t="shared" ref="U118:U126" ca="1" si="78">IF(R118&gt;0,S118*100/R118,0)</f>
        <v>35.551028935547897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191460</v>
      </c>
      <c r="R120" s="46">
        <f t="shared" ca="1" si="80"/>
        <v>191460</v>
      </c>
      <c r="S120" s="46">
        <f t="shared" ca="1" si="80"/>
        <v>68066</v>
      </c>
      <c r="T120" s="46">
        <f t="shared" ca="1" si="77"/>
        <v>35.551028935547897</v>
      </c>
      <c r="U120" s="46">
        <f t="shared" ca="1" si="78"/>
        <v>35.551028935547897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191460</v>
      </c>
      <c r="R121" s="46">
        <f t="shared" ca="1" si="82"/>
        <v>191460</v>
      </c>
      <c r="S121" s="46">
        <f t="shared" ca="1" si="82"/>
        <v>68066</v>
      </c>
      <c r="T121" s="46">
        <f t="shared" ca="1" si="77"/>
        <v>35.551028935547897</v>
      </c>
      <c r="U121" s="46">
        <f t="shared" ca="1" si="78"/>
        <v>35.551028935547897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IFERROR(__xludf.DUMMYFUNCTION("IMPORTRANGE(""https://docs.google.com/spreadsheets/d/1-uDff_7J0KD5mKrp0Vvzr7lt3OU09vwQwhkpOPPYv2Y/edit?usp=sharing"",""งบพรบ!BG75"")"),0)</f>
        <v>0</v>
      </c>
      <c r="M123" s="46">
        <f ca="1">IFERROR(__xludf.DUMMYFUNCTION("IMPORTRANGE(""https://docs.google.com/spreadsheets/d/1-uDff_7J0KD5mKrp0Vvzr7lt3OU09vwQwhkpOPPYv2Y/edit?usp=sharing"",""งบพรบ!BL75"")"),0)</f>
        <v>0</v>
      </c>
      <c r="N123" s="46">
        <f ca="1">IFERROR(__xludf.DUMMYFUNCTION("IMPORTRANGE(""https://docs.google.com/spreadsheets/d/1-uDff_7J0KD5mKrp0Vvzr7lt3OU09vwQwhkpOPPYv2Y/edit?usp=sharing"",""งบพรบ!BN75"")"),0)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IFERROR(__xludf.DUMMYFUNCTION("IMPORTRANGE(""https://docs.google.com/spreadsheets/d/1ItG2mGa2ceCfYo0BwxsXqNm01IGEUdYcSSLTEv9YCik/edit?usp=sharing"",""เบิกจ่ายกองทุน!R75"")"),191460)</f>
        <v>191460</v>
      </c>
      <c r="R123" s="46">
        <f ca="1">IFERROR(__xludf.DUMMYFUNCTION("IMPORTRANGE(""https://docs.google.com/spreadsheets/d/1ItG2mGa2ceCfYo0BwxsXqNm01IGEUdYcSSLTEv9YCik/edit?usp=sharing"",""เบิกจ่ายกองทุน!S75"")"),191460)</f>
        <v>191460</v>
      </c>
      <c r="S123" s="46">
        <f ca="1">IFERROR(__xludf.DUMMYFUNCTION("IMPORTRANGE(""https://docs.google.com/spreadsheets/d/1ItG2mGa2ceCfYo0BwxsXqNm01IGEUdYcSSLTEv9YCik/edit?usp=sharing"",""เบิกจ่ายกองทุน!T75"")"),68066)</f>
        <v>68066</v>
      </c>
      <c r="T123" s="46">
        <f t="shared" ca="1" si="77"/>
        <v>35.551028935547897</v>
      </c>
      <c r="U123" s="46">
        <f t="shared" ca="1" si="78"/>
        <v>35.551028935547897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IFERROR(__xludf.DUMMYFUNCTION("IMPORTRANGE(""https://docs.google.com/spreadsheets/d/1-uDff_7J0KD5mKrp0Vvzr7lt3OU09vwQwhkpOPPYv2Y/edit?usp=sharing"",""งบพรบ!BJ75"")"),0)</f>
        <v>0</v>
      </c>
      <c r="M126" s="46">
        <f ca="1">IFERROR(__xludf.DUMMYFUNCTION("IMPORTRANGE(""https://docs.google.com/spreadsheets/d/1-uDff_7J0KD5mKrp0Vvzr7lt3OU09vwQwhkpOPPYv2Y/edit?usp=sharing"",""งบพรบ!BM75"")"),0)</f>
        <v>0</v>
      </c>
      <c r="N126" s="46">
        <f ca="1">IFERROR(__xludf.DUMMYFUNCTION("IMPORTRANGE(""https://docs.google.com/spreadsheets/d/1-uDff_7J0KD5mKrp0Vvzr7lt3OU09vwQwhkpOPPYv2Y/edit?usp=sharing"",""งบพรบ!BO75"")"),0)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IFERROR(__xludf.DUMMYFUNCTION("IMPORTRANGE(""https://docs.google.com/spreadsheets/d/1eHaY18a8A9IcSdp1K8H6x8fbOy06t2VsZHhMHf-1x7Y/edit?usp=sharing"",""แผน!FF75"")"),15)</f>
        <v>15</v>
      </c>
      <c r="J128" s="168">
        <v>0</v>
      </c>
      <c r="K128" s="46">
        <f t="shared" ref="K128:K131" ca="1" si="85">IF(I128&gt;0,J128*100/I128,0)</f>
        <v>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IFERROR(__xludf.DUMMYFUNCTION("IMPORTRANGE(""https://docs.google.com/spreadsheets/d/1eHaY18a8A9IcSdp1K8H6x8fbOy06t2VsZHhMHf-1x7Y/edit?usp=sharing"",""แผน!FG75"")"),0)</f>
        <v>0</v>
      </c>
      <c r="J129" s="168">
        <v>0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IFERROR(__xludf.DUMMYFUNCTION("IMPORTRANGE(""https://docs.google.com/spreadsheets/d/1eHaY18a8A9IcSdp1K8H6x8fbOy06t2VsZHhMHf-1x7Y/edit?usp=sharing"",""แผน!FH75"")"),15)</f>
        <v>15</v>
      </c>
      <c r="J130" s="168">
        <v>0</v>
      </c>
      <c r="K130" s="46">
        <f t="shared" ca="1" si="85"/>
        <v>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IFERROR(__xludf.DUMMYFUNCTION("IMPORTRANGE(""https://docs.google.com/spreadsheets/d/1eHaY18a8A9IcSdp1K8H6x8fbOy06t2VsZHhMHf-1x7Y/edit?usp=sharing"",""แผน!FI75"")"),0)</f>
        <v>0</v>
      </c>
      <c r="J131" s="168">
        <v>0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0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0</v>
      </c>
      <c r="J138" s="127">
        <f t="shared" si="88"/>
        <v>0</v>
      </c>
      <c r="K138" s="34">
        <f t="shared" ca="1" si="87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0</v>
      </c>
      <c r="J139" s="127">
        <f t="shared" si="88"/>
        <v>0</v>
      </c>
      <c r="K139" s="34">
        <f t="shared" ca="1" si="87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0</v>
      </c>
      <c r="M140" s="132">
        <f t="shared" ca="1" si="89"/>
        <v>0</v>
      </c>
      <c r="N140" s="132">
        <f t="shared" ca="1" si="89"/>
        <v>0</v>
      </c>
      <c r="O140" s="132">
        <f t="shared" ref="O140:O148" ca="1" si="90">IF(L140&gt;0,N140*100/L140,0)</f>
        <v>0</v>
      </c>
      <c r="P140" s="132">
        <f t="shared" ref="P140:P148" ca="1" si="91">IF(M140&gt;0,N140*100/M140,0)</f>
        <v>0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0</v>
      </c>
      <c r="M142" s="46">
        <f t="shared" ca="1" si="95"/>
        <v>0</v>
      </c>
      <c r="N142" s="46">
        <f t="shared" ca="1" si="95"/>
        <v>0</v>
      </c>
      <c r="O142" s="46">
        <f t="shared" ca="1" si="90"/>
        <v>0</v>
      </c>
      <c r="P142" s="46">
        <f t="shared" ca="1" si="91"/>
        <v>0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0</v>
      </c>
      <c r="M143" s="46">
        <f t="shared" ca="1" si="97"/>
        <v>0</v>
      </c>
      <c r="N143" s="46">
        <f t="shared" ca="1" si="97"/>
        <v>0</v>
      </c>
      <c r="O143" s="46">
        <f t="shared" ca="1" si="90"/>
        <v>0</v>
      </c>
      <c r="P143" s="46">
        <f t="shared" ca="1" si="91"/>
        <v>0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IFERROR(__xludf.DUMMYFUNCTION("IMPORTRANGE(""https://docs.google.com/spreadsheets/d/1-uDff_7J0KD5mKrp0Vvzr7lt3OU09vwQwhkpOPPYv2Y/edit?usp=sharing"",""งบพรบ!BQ75"")"),0)</f>
        <v>0</v>
      </c>
      <c r="M145" s="46">
        <f ca="1">IFERROR(__xludf.DUMMYFUNCTION("IMPORTRANGE(""https://docs.google.com/spreadsheets/d/1-uDff_7J0KD5mKrp0Vvzr7lt3OU09vwQwhkpOPPYv2Y/edit?usp=sharing"",""งบพรบ!BV75"")"),0)</f>
        <v>0</v>
      </c>
      <c r="N145" s="46">
        <f ca="1">IFERROR(__xludf.DUMMYFUNCTION("IMPORTRANGE(""https://docs.google.com/spreadsheets/d/1-uDff_7J0KD5mKrp0Vvzr7lt3OU09vwQwhkpOPPYv2Y/edit?usp=sharing"",""งบพรบ!BX75"")"),0)</f>
        <v>0</v>
      </c>
      <c r="O145" s="46">
        <f t="shared" ca="1" si="90"/>
        <v>0</v>
      </c>
      <c r="P145" s="46">
        <f t="shared" ca="1" si="91"/>
        <v>0</v>
      </c>
      <c r="Q145" s="46">
        <f ca="1">IFERROR(__xludf.DUMMYFUNCTION("IMPORTRANGE(""https://docs.google.com/spreadsheets/d/1ItG2mGa2ceCfYo0BwxsXqNm01IGEUdYcSSLTEv9YCik/edit?usp=sharing"",""เบิกจ่ายกองทุน!BB75"")"),0)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IFERROR(__xludf.DUMMYFUNCTION("IMPORTRANGE(""https://docs.google.com/spreadsheets/d/1ItG2mGa2ceCfYo0BwxsXqNm01IGEUdYcSSLTEv9YCik/edit?usp=sharing"",""เบิกจ่ายกองทุน!BC75"")"),0)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IFERROR(__xludf.DUMMYFUNCTION("IMPORTRANGE(""https://docs.google.com/spreadsheets/d/1ItG2mGa2ceCfYo0BwxsXqNm01IGEUdYcSSLTEv9YCik/edit?usp=sharing"",""เบิกจ่ายกองทุน!BD75"")"),0)</f>
        <v>0</v>
      </c>
      <c r="T145" s="46">
        <f t="shared" ca="1" si="93"/>
        <v>0</v>
      </c>
      <c r="U145" s="46">
        <f t="shared" ca="1" si="94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IFERROR(__xludf.DUMMYFUNCTION("IMPORTRANGE(""https://docs.google.com/spreadsheets/d/1-uDff_7J0KD5mKrp0Vvzr7lt3OU09vwQwhkpOPPYv2Y/edit?usp=sharing"",""งบพรบ!BT75"")"),0)</f>
        <v>0</v>
      </c>
      <c r="M148" s="46">
        <f ca="1">IFERROR(__xludf.DUMMYFUNCTION("IMPORTRANGE(""https://docs.google.com/spreadsheets/d/1-uDff_7J0KD5mKrp0Vvzr7lt3OU09vwQwhkpOPPYv2Y/edit?usp=sharing"",""งบพรบ!BW75"")"),0)</f>
        <v>0</v>
      </c>
      <c r="N148" s="46">
        <f ca="1">IFERROR(__xludf.DUMMYFUNCTION("IMPORTRANGE(""https://docs.google.com/spreadsheets/d/1-uDff_7J0KD5mKrp0Vvzr7lt3OU09vwQwhkpOPPYv2Y/edit?usp=sharing"",""งบพรบ!BY75"")"),0)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IFERROR(__xludf.DUMMYFUNCTION("IMPORTRANGE(""https://docs.google.com/spreadsheets/d/1eHaY18a8A9IcSdp1K8H6x8fbOy06t2VsZHhMHf-1x7Y/edit?usp=sharing"",""แผน!U75"")"),0)</f>
        <v>0</v>
      </c>
      <c r="J151" s="168">
        <v>0</v>
      </c>
      <c r="K151" s="46">
        <f t="shared" ref="K151:K155" ca="1" si="101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IFERROR(__xludf.DUMMYFUNCTION("IMPORTRANGE(""https://docs.google.com/spreadsheets/d/1eHaY18a8A9IcSdp1K8H6x8fbOy06t2VsZHhMHf-1x7Y/edit?usp=sharing"",""แผน!V75"")"),0)</f>
        <v>0</v>
      </c>
      <c r="J152" s="168">
        <v>0</v>
      </c>
      <c r="K152" s="46">
        <f t="shared" ca="1" si="101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IFERROR(__xludf.DUMMYFUNCTION("IMPORTRANGE(""https://docs.google.com/spreadsheets/d/1eHaY18a8A9IcSdp1K8H6x8fbOy06t2VsZHhMHf-1x7Y/edit?usp=sharing"",""แผน!W75"")"),0)</f>
        <v>0</v>
      </c>
      <c r="J153" s="168">
        <v>0</v>
      </c>
      <c r="K153" s="46">
        <f t="shared" ca="1" si="101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IFERROR(__xludf.DUMMYFUNCTION("IMPORTRANGE(""https://docs.google.com/spreadsheets/d/1eHaY18a8A9IcSdp1K8H6x8fbOy06t2VsZHhMHf-1x7Y/edit?usp=sharing"",""แผน!X75"")"),0)</f>
        <v>0</v>
      </c>
      <c r="J154" s="168">
        <v>0</v>
      </c>
      <c r="K154" s="46">
        <f t="shared" ca="1" si="101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IFERROR(__xludf.DUMMYFUNCTION("IMPORTRANGE(""https://docs.google.com/spreadsheets/d/1eHaY18a8A9IcSdp1K8H6x8fbOy06t2VsZHhMHf-1x7Y/edit?usp=sharing"",""แผน!Y75"")"),0)</f>
        <v>0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IFERROR(__xludf.DUMMYFUNCTION("IMPORTRANGE(""https://docs.google.com/spreadsheets/d/1-uDff_7J0KD5mKrp0Vvzr7lt3OU09vwQwhkpOPPYv2Y/edit?usp=sharing"",""งบพรบ!CA75"")"),0)</f>
        <v>0</v>
      </c>
      <c r="M163" s="46">
        <f ca="1">IFERROR(__xludf.DUMMYFUNCTION("IMPORTRANGE(""https://docs.google.com/spreadsheets/d/1-uDff_7J0KD5mKrp0Vvzr7lt3OU09vwQwhkpOPPYv2Y/edit?usp=sharing"",""งบพรบ!CF75"")"),0)</f>
        <v>0</v>
      </c>
      <c r="N163" s="46">
        <f ca="1">IFERROR(__xludf.DUMMYFUNCTION("IMPORTRANGE(""https://docs.google.com/spreadsheets/d/1-uDff_7J0KD5mKrp0Vvzr7lt3OU09vwQwhkpOPPYv2Y/edit?usp=sharing"",""งบพรบ!CH75"")"),0)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IFERROR(__xludf.DUMMYFUNCTION("IMPORTRANGE(""https://docs.google.com/spreadsheets/d/1ItG2mGa2ceCfYo0BwxsXqNm01IGEUdYcSSLTEv9YCik/edit?usp=sharing"",""เบิกจ่ายกองทุน!AG75"")"),0)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IFERROR(__xludf.DUMMYFUNCTION("IMPORTRANGE(""https://docs.google.com/spreadsheets/d/1ItG2mGa2ceCfYo0BwxsXqNm01IGEUdYcSSLTEv9YCik/edit?usp=sharing"",""เบิกจ่ายกองทุน!AH75"")"),0)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IFERROR(__xludf.DUMMYFUNCTION("IMPORTRANGE(""https://docs.google.com/spreadsheets/d/1ItG2mGa2ceCfYo0BwxsXqNm01IGEUdYcSSLTEv9YCik/edit?usp=sharing"",""เบิกจ่ายกองทุน!AI75"")"),0)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IFERROR(__xludf.DUMMYFUNCTION("IMPORTRANGE(""https://docs.google.com/spreadsheets/d/1-uDff_7J0KD5mKrp0Vvzr7lt3OU09vwQwhkpOPPYv2Y/edit?usp=sharing"",""งบพรบ!CD75"")"),0)</f>
        <v>0</v>
      </c>
      <c r="M166" s="46">
        <f ca="1">IFERROR(__xludf.DUMMYFUNCTION("IMPORTRANGE(""https://docs.google.com/spreadsheets/d/1-uDff_7J0KD5mKrp0Vvzr7lt3OU09vwQwhkpOPPYv2Y/edit?usp=sharing"",""งบพรบ!CG75"")"),0)</f>
        <v>0</v>
      </c>
      <c r="N166" s="46">
        <f ca="1">IFERROR(__xludf.DUMMYFUNCTION("IMPORTRANGE(""https://docs.google.com/spreadsheets/d/1-uDff_7J0KD5mKrp0Vvzr7lt3OU09vwQwhkpOPPYv2Y/edit?usp=sharing"",""งบพรบ!CI75"")"),0)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IFERROR(__xludf.DUMMYFUNCTION("IMPORTRANGE(""https://docs.google.com/spreadsheets/d/1eHaY18a8A9IcSdp1K8H6x8fbOy06t2VsZHhMHf-1x7Y/edit?usp=sharing"",""แผน!Z75"")"),0)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IFERROR(__xludf.DUMMYFUNCTION("IMPORTRANGE(""https://docs.google.com/spreadsheets/d/1eHaY18a8A9IcSdp1K8H6x8fbOy06t2VsZHhMHf-1x7Y/edit?usp=sharing"",""แผน!Z75"")"),0)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IFERROR(__xludf.DUMMYFUNCTION("IMPORTRANGE(""https://docs.google.com/spreadsheets/d/1eHaY18a8A9IcSdp1K8H6x8fbOy06t2VsZHhMHf-1x7Y/edit?usp=sharing"",""แผน!Z75"")"),0)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7</v>
      </c>
      <c r="J173" s="221">
        <f t="shared" si="116"/>
        <v>0</v>
      </c>
      <c r="K173" s="222">
        <f ca="1">IF(I173&gt;0,J173*100/I173,0)</f>
        <v>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19590</v>
      </c>
      <c r="M174" s="132">
        <f t="shared" ca="1" si="117"/>
        <v>36750</v>
      </c>
      <c r="N174" s="132">
        <f t="shared" ca="1" si="117"/>
        <v>36750</v>
      </c>
      <c r="O174" s="132">
        <f t="shared" ref="O174:O182" ca="1" si="118">IF(L174&gt;0,N174*100/L174,0)</f>
        <v>187.59571209800919</v>
      </c>
      <c r="P174" s="132">
        <f t="shared" ref="P174:P182" ca="1" si="119">IF(M174&gt;0,N174*100/M174,0)</f>
        <v>100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19590</v>
      </c>
      <c r="M176" s="46">
        <f t="shared" ca="1" si="123"/>
        <v>36750</v>
      </c>
      <c r="N176" s="46">
        <f t="shared" ca="1" si="123"/>
        <v>36750</v>
      </c>
      <c r="O176" s="46">
        <f t="shared" ca="1" si="118"/>
        <v>187.59571209800919</v>
      </c>
      <c r="P176" s="46">
        <f t="shared" ca="1" si="119"/>
        <v>100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19590</v>
      </c>
      <c r="M177" s="46">
        <f t="shared" ca="1" si="125"/>
        <v>36750</v>
      </c>
      <c r="N177" s="46">
        <f t="shared" ca="1" si="125"/>
        <v>36750</v>
      </c>
      <c r="O177" s="46">
        <f t="shared" ca="1" si="118"/>
        <v>187.59571209800919</v>
      </c>
      <c r="P177" s="46">
        <f t="shared" ca="1" si="119"/>
        <v>100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IFERROR(__xludf.DUMMYFUNCTION("IMPORTRANGE(""https://docs.google.com/spreadsheets/d/1-uDff_7J0KD5mKrp0Vvzr7lt3OU09vwQwhkpOPPYv2Y/edit?usp=sharing"",""งบพรบ!CK75"")"),19590)</f>
        <v>19590</v>
      </c>
      <c r="M179" s="46">
        <f ca="1">IFERROR(__xludf.DUMMYFUNCTION("IMPORTRANGE(""https://docs.google.com/spreadsheets/d/1-uDff_7J0KD5mKrp0Vvzr7lt3OU09vwQwhkpOPPYv2Y/edit?usp=sharing"",""งบพรบ!CP75"")"),36750)</f>
        <v>36750</v>
      </c>
      <c r="N179" s="46">
        <f ca="1">IFERROR(__xludf.DUMMYFUNCTION("IMPORTRANGE(""https://docs.google.com/spreadsheets/d/1-uDff_7J0KD5mKrp0Vvzr7lt3OU09vwQwhkpOPPYv2Y/edit?usp=sharing"",""งบพรบ!CR75"")"),36750)</f>
        <v>36750</v>
      </c>
      <c r="O179" s="46">
        <f t="shared" ca="1" si="118"/>
        <v>187.59571209800919</v>
      </c>
      <c r="P179" s="46">
        <f t="shared" ca="1" si="119"/>
        <v>100</v>
      </c>
      <c r="Q179" s="46">
        <f ca="1">IFERROR(__xludf.DUMMYFUNCTION("IMPORTRANGE(""https://docs.google.com/spreadsheets/d/1ItG2mGa2ceCfYo0BwxsXqNm01IGEUdYcSSLTEv9YCik/edit?usp=sharing"",""เบิกจ่ายกองทุน!BE75"")"),0)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IFERROR(__xludf.DUMMYFUNCTION("IMPORTRANGE(""https://docs.google.com/spreadsheets/d/1ItG2mGa2ceCfYo0BwxsXqNm01IGEUdYcSSLTEv9YCik/edit?usp=sharing"",""เบิกจ่ายกองทุน!BF75"")"),0)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IFERROR(__xludf.DUMMYFUNCTION("IMPORTRANGE(""https://docs.google.com/spreadsheets/d/1ItG2mGa2ceCfYo0BwxsXqNm01IGEUdYcSSLTEv9YCik/edit?usp=sharing"",""เบิกจ่ายกองทุน!BG75"")"),0)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IFERROR(__xludf.DUMMYFUNCTION("IMPORTRANGE(""https://docs.google.com/spreadsheets/d/1-uDff_7J0KD5mKrp0Vvzr7lt3OU09vwQwhkpOPPYv2Y/edit?usp=sharing"",""งบพรบ!CN75"")"),0)</f>
        <v>0</v>
      </c>
      <c r="M182" s="46">
        <f ca="1">IFERROR(__xludf.DUMMYFUNCTION("IMPORTRANGE(""https://docs.google.com/spreadsheets/d/1-uDff_7J0KD5mKrp0Vvzr7lt3OU09vwQwhkpOPPYv2Y/edit?usp=sharing"",""งบพรบ!CQ75"")"),0)</f>
        <v>0</v>
      </c>
      <c r="N182" s="46">
        <f ca="1">IFERROR(__xludf.DUMMYFUNCTION("IMPORTRANGE(""https://docs.google.com/spreadsheets/d/1-uDff_7J0KD5mKrp0Vvzr7lt3OU09vwQwhkpOPPYv2Y/edit?usp=sharing"",""งบพรบ!CS75"")"),0)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IFERROR(__xludf.DUMMYFUNCTION("IMPORTRANGE(""https://docs.google.com/spreadsheets/d/1eHaY18a8A9IcSdp1K8H6x8fbOy06t2VsZHhMHf-1x7Y/edit?usp=sharing"",""แผน!AA75"")"),7)</f>
        <v>7</v>
      </c>
      <c r="J184" s="168">
        <v>0</v>
      </c>
      <c r="K184" s="46">
        <f t="shared" ref="K184:K186" ca="1" si="129">IF(I184&gt;0,J184*100/I184,0)</f>
        <v>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0</v>
      </c>
      <c r="J186" s="221">
        <f t="shared" si="130"/>
        <v>0</v>
      </c>
      <c r="K186" s="222">
        <f t="shared" ca="1" si="129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136400</v>
      </c>
      <c r="M187" s="132">
        <f t="shared" ca="1" si="131"/>
        <v>121100</v>
      </c>
      <c r="N187" s="132">
        <f t="shared" ca="1" si="131"/>
        <v>64681</v>
      </c>
      <c r="O187" s="132">
        <f t="shared" ref="O187:O195" ca="1" si="132">IF(L187&gt;0,N187*100/L187,0)</f>
        <v>47.420087976539591</v>
      </c>
      <c r="P187" s="132">
        <f t="shared" ref="P187:P195" ca="1" si="133">IF(M187&gt;0,N187*100/M187,0)</f>
        <v>53.411230388109004</v>
      </c>
      <c r="Q187" s="132">
        <f t="shared" ref="Q187:S187" ca="1" si="134">Q188+Q189</f>
        <v>42000</v>
      </c>
      <c r="R187" s="132">
        <f t="shared" ca="1" si="134"/>
        <v>42000</v>
      </c>
      <c r="S187" s="132">
        <f t="shared" ca="1" si="134"/>
        <v>0</v>
      </c>
      <c r="T187" s="132">
        <f t="shared" ref="T187:T195" ca="1" si="135">IF(Q187&gt;0,S187*100/Q187,0)</f>
        <v>0</v>
      </c>
      <c r="U187" s="132">
        <f t="shared" ref="U187:U195" ca="1" si="136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136400</v>
      </c>
      <c r="M189" s="46">
        <f t="shared" ca="1" si="137"/>
        <v>121100</v>
      </c>
      <c r="N189" s="46">
        <f t="shared" ca="1" si="137"/>
        <v>64681</v>
      </c>
      <c r="O189" s="46">
        <f t="shared" ca="1" si="132"/>
        <v>47.420087976539591</v>
      </c>
      <c r="P189" s="46">
        <f t="shared" ca="1" si="133"/>
        <v>53.411230388109004</v>
      </c>
      <c r="Q189" s="46">
        <f t="shared" ca="1" si="138"/>
        <v>42000</v>
      </c>
      <c r="R189" s="46">
        <f t="shared" ca="1" si="138"/>
        <v>42000</v>
      </c>
      <c r="S189" s="46">
        <f t="shared" ca="1" si="138"/>
        <v>0</v>
      </c>
      <c r="T189" s="46">
        <f t="shared" ca="1" si="135"/>
        <v>0</v>
      </c>
      <c r="U189" s="46">
        <f t="shared" ca="1" si="136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136400</v>
      </c>
      <c r="M190" s="46">
        <f t="shared" ca="1" si="139"/>
        <v>121100</v>
      </c>
      <c r="N190" s="46">
        <f t="shared" ca="1" si="139"/>
        <v>64681</v>
      </c>
      <c r="O190" s="46">
        <f t="shared" ca="1" si="132"/>
        <v>47.420087976539591</v>
      </c>
      <c r="P190" s="46">
        <f t="shared" ca="1" si="133"/>
        <v>53.411230388109004</v>
      </c>
      <c r="Q190" s="46">
        <f t="shared" ref="Q190:S190" ca="1" si="140">Q191+Q192</f>
        <v>42000</v>
      </c>
      <c r="R190" s="46">
        <f t="shared" ca="1" si="140"/>
        <v>42000</v>
      </c>
      <c r="S190" s="46">
        <f t="shared" ca="1" si="140"/>
        <v>0</v>
      </c>
      <c r="T190" s="46">
        <f t="shared" ca="1" si="135"/>
        <v>0</v>
      </c>
      <c r="U190" s="46">
        <f t="shared" ca="1" si="136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IFERROR(__xludf.DUMMYFUNCTION("IMPORTRANGE(""https://docs.google.com/spreadsheets/d/1-uDff_7J0KD5mKrp0Vvzr7lt3OU09vwQwhkpOPPYv2Y/edit?usp=sharing"",""งบพรบ!CU75"")"),136400)</f>
        <v>136400</v>
      </c>
      <c r="M192" s="46">
        <f ca="1">IFERROR(__xludf.DUMMYFUNCTION("IMPORTRANGE(""https://docs.google.com/spreadsheets/d/1-uDff_7J0KD5mKrp0Vvzr7lt3OU09vwQwhkpOPPYv2Y/edit?usp=sharing"",""งบพรบ!CZ75"")"),121100)</f>
        <v>121100</v>
      </c>
      <c r="N192" s="46">
        <f ca="1">IFERROR(__xludf.DUMMYFUNCTION("IMPORTRANGE(""https://docs.google.com/spreadsheets/d/1-uDff_7J0KD5mKrp0Vvzr7lt3OU09vwQwhkpOPPYv2Y/edit?usp=sharing"",""งบพรบ!DB75"")"),64681)</f>
        <v>64681</v>
      </c>
      <c r="O192" s="46">
        <f t="shared" ca="1" si="132"/>
        <v>47.420087976539591</v>
      </c>
      <c r="P192" s="46">
        <f t="shared" ca="1" si="133"/>
        <v>53.411230388109004</v>
      </c>
      <c r="Q192" s="46">
        <f ca="1">IFERROR(__xludf.DUMMYFUNCTION("IMPORTRANGE(""https://docs.google.com/spreadsheets/d/1ItG2mGa2ceCfYo0BwxsXqNm01IGEUdYcSSLTEv9YCik/edit?usp=sharing"",""เบิกจ่ายกองทุน!AV75"")"),42000)</f>
        <v>42000</v>
      </c>
      <c r="R192" s="46">
        <f ca="1">IFERROR(__xludf.DUMMYFUNCTION("IMPORTRANGE(""https://docs.google.com/spreadsheets/d/1ItG2mGa2ceCfYo0BwxsXqNm01IGEUdYcSSLTEv9YCik/edit?usp=sharing"",""เบิกจ่ายกองทุน!AW75"")"),42000)</f>
        <v>42000</v>
      </c>
      <c r="S192" s="46">
        <f ca="1">IFERROR(__xludf.DUMMYFUNCTION("IMPORTRANGE(""https://docs.google.com/spreadsheets/d/1ItG2mGa2ceCfYo0BwxsXqNm01IGEUdYcSSLTEv9YCik/edit?usp=sharing"",""เบิกจ่ายกองทุน!AX75"")"),0)</f>
        <v>0</v>
      </c>
      <c r="T192" s="46">
        <f t="shared" ca="1" si="135"/>
        <v>0</v>
      </c>
      <c r="U192" s="46">
        <f t="shared" ca="1" si="136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IFERROR(__xludf.DUMMYFUNCTION("IMPORTRANGE(""https://docs.google.com/spreadsheets/d/1-uDff_7J0KD5mKrp0Vvzr7lt3OU09vwQwhkpOPPYv2Y/edit?usp=sharing"",""งบพรบ!CX75"")"),0)</f>
        <v>0</v>
      </c>
      <c r="M195" s="46">
        <f ca="1">IFERROR(__xludf.DUMMYFUNCTION("IMPORTRANGE(""https://docs.google.com/spreadsheets/d/1-uDff_7J0KD5mKrp0Vvzr7lt3OU09vwQwhkpOPPYv2Y/edit?usp=sharing"",""งบพรบ!DA75"")"),0)</f>
        <v>0</v>
      </c>
      <c r="N195" s="46">
        <f ca="1">IFERROR(__xludf.DUMMYFUNCTION("IMPORTRANGE(""https://docs.google.com/spreadsheets/d/1-uDff_7J0KD5mKrp0Vvzr7lt3OU09vwQwhkpOPPYv2Y/edit?usp=sharing"",""งบพรบ!DC75"")"),0)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0</v>
      </c>
      <c r="K196" s="236">
        <f ca="1">IF(I196&gt;0,J196*100/I196,0)</f>
        <v>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IFERROR(__xludf.DUMMYFUNCTION("IMPORTRANGE(""https://docs.google.com/spreadsheets/d/1eHaY18a8A9IcSdp1K8H6x8fbOy06t2VsZHhMHf-1x7Y/edit?usp=sharing"",""แผน!AB75"")"),6000)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IFERROR(__xludf.DUMMYFUNCTION("IMPORTRANGE(""https://docs.google.com/spreadsheets/d/1eHaY18a8A9IcSdp1K8H6x8fbOy06t2VsZHhMHf-1x7Y/edit?usp=sharing"",""แผน!AE75"")"),4)</f>
        <v>4</v>
      </c>
      <c r="J199" s="168">
        <v>0</v>
      </c>
      <c r="K199" s="46">
        <f ca="1">IF(I199&gt;0,J199*100/I199,0)</f>
        <v>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0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0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3</v>
      </c>
      <c r="J203" s="235">
        <f t="shared" si="144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15000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IFERROR(__xludf.DUMMYFUNCTION("IMPORTRANGE(""https://docs.google.com/spreadsheets/d/1eHaY18a8A9IcSdp1K8H6x8fbOy06t2VsZHhMHf-1x7Y/edit?usp=sharing"",""แผน!AG75"")"),3000)</f>
        <v>3000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IFERROR(__xludf.DUMMYFUNCTION("IMPORTRANGE(""https://docs.google.com/spreadsheets/d/1eHaY18a8A9IcSdp1K8H6x8fbOy06t2VsZHhMHf-1x7Y/edit?usp=sharing"",""แผน!AH75"")"),0)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IFERROR(__xludf.DUMMYFUNCTION("IMPORTRANGE(""https://docs.google.com/spreadsheets/d/1eHaY18a8A9IcSdp1K8H6x8fbOy06t2VsZHhMHf-1x7Y/edit?usp=sharing"",""แผน!AI75"")"),0)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IFERROR(__xludf.DUMMYFUNCTION("IMPORTRANGE(""https://docs.google.com/spreadsheets/d/1eHaY18a8A9IcSdp1K8H6x8fbOy06t2VsZHhMHf-1x7Y/edit?usp=sharing"",""แผน!AJ75"")"),12000)</f>
        <v>12000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IFERROR(__xludf.DUMMYFUNCTION("IMPORTRANGE(""https://docs.google.com/spreadsheets/d/1eHaY18a8A9IcSdp1K8H6x8fbOy06t2VsZHhMHf-1x7Y/edit?usp=sharing"",""แผน!AK75"")"),3)</f>
        <v>3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IFERROR(__xludf.DUMMYFUNCTION("IMPORTRANGE(""https://docs.google.com/spreadsheets/d/1eHaY18a8A9IcSdp1K8H6x8fbOy06t2VsZHhMHf-1x7Y/edit?usp=sharing"",""แผน!JX75"")"),3)</f>
        <v>3</v>
      </c>
      <c r="J212" s="168">
        <v>0</v>
      </c>
      <c r="K212" s="153">
        <f t="shared" ref="K212:K214" ca="1" si="145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IFERROR(__xludf.DUMMYFUNCTION("IMPORTRANGE(""https://docs.google.com/spreadsheets/d/1eHaY18a8A9IcSdp1K8H6x8fbOy06t2VsZHhMHf-1x7Y/edit?usp=sharing"",""แผน!JY75"")"),0)</f>
        <v>0</v>
      </c>
      <c r="J213" s="168">
        <v>0</v>
      </c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0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IFERROR(__xludf.DUMMYFUNCTION("IMPORTRANGE(""https://docs.google.com/spreadsheets/d/1eHaY18a8A9IcSdp1K8H6x8fbOy06t2VsZHhMHf-1x7Y/edit?usp=sharing"",""แผน!AM75"")"),0)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IFERROR(__xludf.DUMMYFUNCTION("IMPORTRANGE(""https://docs.google.com/spreadsheets/d/1eHaY18a8A9IcSdp1K8H6x8fbOy06t2VsZHhMHf-1x7Y/edit?usp=sharing"",""แผน!AN75"")"),0)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IFERROR(__xludf.DUMMYFUNCTION("IMPORTRANGE(""https://docs.google.com/spreadsheets/d/1eHaY18a8A9IcSdp1K8H6x8fbOy06t2VsZHhMHf-1x7Y/edit?usp=sharing"",""แผน!AO75"")"),0)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IFERROR(__xludf.DUMMYFUNCTION("IMPORTRANGE(""https://docs.google.com/spreadsheets/d/1eHaY18a8A9IcSdp1K8H6x8fbOy06t2VsZHhMHf-1x7Y/edit?usp=sharing"",""แผน!AP75"")"),0)</f>
        <v>0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50000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8500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IFERROR(__xludf.DUMMYFUNCTION("IMPORTRANGE(""https://docs.google.com/spreadsheets/d/1eHaY18a8A9IcSdp1K8H6x8fbOy06t2VsZHhMHf-1x7Y/edit?usp=sharing"",""แผน!AR75"")"),2500)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IFERROR(__xludf.DUMMYFUNCTION("IMPORTRANGE(""https://docs.google.com/spreadsheets/d/1eHaY18a8A9IcSdp1K8H6x8fbOy06t2VsZHhMHf-1x7Y/edit?usp=sharing"",""แผน!AS75"")"),6000)</f>
        <v>6000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IFERROR(__xludf.DUMMYFUNCTION("IMPORTRANGE(""https://docs.google.com/spreadsheets/d/1eHaY18a8A9IcSdp1K8H6x8fbOy06t2VsZHhMHf-1x7Y/edit?usp=sharing"",""แผน!AT75"")"),0)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IFERROR(__xludf.DUMMYFUNCTION("IMPORTRANGE(""https://docs.google.com/spreadsheets/d/1eHaY18a8A9IcSdp1K8H6x8fbOy06t2VsZHhMHf-1x7Y/edit?usp=sharing"",""แผน!AV75"")"),50000)</f>
        <v>50000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IFERROR(__xludf.DUMMYFUNCTION("IMPORTRANGE(""https://docs.google.com/spreadsheets/d/1eHaY18a8A9IcSdp1K8H6x8fbOy06t2VsZHhMHf-1x7Y/edit?usp=sharing"",""แผน!AU75"")"),0)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0</v>
      </c>
      <c r="J232" s="573">
        <f t="shared" si="150"/>
        <v>0</v>
      </c>
      <c r="K232" s="574">
        <f t="shared" ca="1" si="149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0</v>
      </c>
      <c r="M233" s="45"/>
      <c r="N233" s="583">
        <f t="shared" ref="N233:N237" si="152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0</v>
      </c>
      <c r="M234" s="45"/>
      <c r="N234" s="48">
        <f t="shared" si="152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0</v>
      </c>
      <c r="M235" s="45"/>
      <c r="N235" s="48">
        <f t="shared" si="152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0</v>
      </c>
      <c r="M236" s="45"/>
      <c r="N236" s="48">
        <f t="shared" si="152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0</v>
      </c>
      <c r="J239" s="340">
        <f t="shared" si="153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4">I252+I263</f>
        <v>0</v>
      </c>
      <c r="J241" s="340">
        <f t="shared" si="154"/>
        <v>0</v>
      </c>
      <c r="K241" s="48">
        <f t="shared" ref="K241:K243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4"/>
        <v>0</v>
      </c>
      <c r="J242" s="340">
        <f t="shared" si="154"/>
        <v>0</v>
      </c>
      <c r="K242" s="48">
        <f t="shared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6">I250</f>
        <v>0</v>
      </c>
      <c r="J243" s="573">
        <f t="shared" si="156"/>
        <v>0</v>
      </c>
      <c r="K243" s="574">
        <f t="shared" ca="1" si="155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IFERROR(__xludf.DUMMYFUNCTION("IMPORTRANGE(""https://docs.google.com/spreadsheets/d/1eHaY18a8A9IcSdp1K8H6x8fbOy06t2VsZHhMHf-1x7Y/edit?usp=sharing"",""แผน!AX75"")"),0)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IFERROR(__xludf.DUMMYFUNCTION("IMPORTRANGE(""https://docs.google.com/spreadsheets/d/1eHaY18a8A9IcSdp1K8H6x8fbOy06t2VsZHhMHf-1x7Y/edit?usp=sharing"",""แผน!AY75"")"),0)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IFERROR(__xludf.DUMMYFUNCTION("IMPORTRANGE(""https://docs.google.com/spreadsheets/d/1eHaY18a8A9IcSdp1K8H6x8fbOy06t2VsZHhMHf-1x7Y/edit?usp=sharing"",""แผน!AZ75"")"),0)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IFERROR(__xludf.DUMMYFUNCTION("IMPORTRANGE(""https://docs.google.com/spreadsheets/d/1eHaY18a8A9IcSdp1K8H6x8fbOy06t2VsZHhMHf-1x7Y/edit?usp=sharing"",""แผน!BA75"")"),0)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IFERROR(__xludf.DUMMYFUNCTION("IMPORTRANGE(""https://docs.google.com/spreadsheets/d/1eHaY18a8A9IcSdp1K8H6x8fbOy06t2VsZHhMHf-1x7Y/edit?usp=sharing"",""แผน!BG75"")"),0)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IFERROR(__xludf.DUMMYFUNCTION("IMPORTRANGE(""https://docs.google.com/spreadsheets/d/1eHaY18a8A9IcSdp1K8H6x8fbOy06t2VsZHhMHf-1x7Y/edit?usp=sharing"",""แผน!BB75"")"),0)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IFERROR(__xludf.DUMMYFUNCTION("IMPORTRANGE(""https://docs.google.com/spreadsheets/d/1eHaY18a8A9IcSdp1K8H6x8fbOy06t2VsZHhMHf-1x7Y/edit?usp=sharing"",""แผน!BC75"")"),0)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IFERROR(__xludf.DUMMYFUNCTION("IMPORTRANGE(""https://docs.google.com/spreadsheets/d/1eHaY18a8A9IcSdp1K8H6x8fbOy06t2VsZHhMHf-1x7Y/edit?usp=sharing"",""แผน!BD75"")"),0)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IFERROR(__xludf.DUMMYFUNCTION("IMPORTRANGE(""https://docs.google.com/spreadsheets/d/1eHaY18a8A9IcSdp1K8H6x8fbOy06t2VsZHhMHf-1x7Y/edit?usp=sharing"",""แผน!BE75"")"),0)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IFERROR(__xludf.DUMMYFUNCTION("IMPORTRANGE(""https://docs.google.com/spreadsheets/d/1eHaY18a8A9IcSdp1K8H6x8fbOy06t2VsZHhMHf-1x7Y/edit?usp=sharing"",""แผน!BH75"")"),0)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22</v>
      </c>
      <c r="J266" s="613">
        <f t="shared" si="160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50660</v>
      </c>
      <c r="R267" s="626">
        <f t="shared" ca="1" si="164"/>
        <v>50660</v>
      </c>
      <c r="S267" s="626">
        <f t="shared" ca="1" si="164"/>
        <v>24079</v>
      </c>
      <c r="T267" s="626">
        <f t="shared" ref="T267:T275" ca="1" si="165">IF(Q267&gt;0,S267*100/Q267,0)</f>
        <v>47.530596131069878</v>
      </c>
      <c r="U267" s="626">
        <f t="shared" ref="U267:U275" ca="1" si="166">IF(R267&gt;0,S267*100/R267,0)</f>
        <v>47.530596131069878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50660</v>
      </c>
      <c r="R269" s="630">
        <f t="shared" ca="1" si="168"/>
        <v>50660</v>
      </c>
      <c r="S269" s="630">
        <f t="shared" ca="1" si="168"/>
        <v>24079</v>
      </c>
      <c r="T269" s="630">
        <f t="shared" ca="1" si="165"/>
        <v>47.530596131069878</v>
      </c>
      <c r="U269" s="630">
        <f t="shared" ca="1" si="166"/>
        <v>47.530596131069878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50660</v>
      </c>
      <c r="R270" s="630">
        <f t="shared" ca="1" si="170"/>
        <v>50660</v>
      </c>
      <c r="S270" s="630">
        <f t="shared" ca="1" si="170"/>
        <v>24079</v>
      </c>
      <c r="T270" s="630">
        <f t="shared" ca="1" si="165"/>
        <v>47.530596131069878</v>
      </c>
      <c r="U270" s="630">
        <f t="shared" ca="1" si="166"/>
        <v>47.530596131069878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IFERROR(__xludf.DUMMYFUNCTION("IMPORTRANGE(""https://docs.google.com/spreadsheets/d/1-uDff_7J0KD5mKrp0Vvzr7lt3OU09vwQwhkpOPPYv2Y/edit?usp=sharing"",""งบพรบ!DE75"")"),0)</f>
        <v>0</v>
      </c>
      <c r="M272" s="630">
        <f ca="1">IFERROR(__xludf.DUMMYFUNCTION("IMPORTRANGE(""https://docs.google.com/spreadsheets/d/1-uDff_7J0KD5mKrp0Vvzr7lt3OU09vwQwhkpOPPYv2Y/edit?usp=sharing"",""งบพรบ!DJ75"")"),5000)</f>
        <v>5000</v>
      </c>
      <c r="N272" s="630">
        <f ca="1">IFERROR(__xludf.DUMMYFUNCTION("IMPORTRANGE(""https://docs.google.com/spreadsheets/d/1-uDff_7J0KD5mKrp0Vvzr7lt3OU09vwQwhkpOPPYv2Y/edit?usp=sharing"",""งบพรบ!DL75"")"),0)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IFERROR(__xludf.DUMMYFUNCTION("IMPORTRANGE(""https://docs.google.com/spreadsheets/d/1ItG2mGa2ceCfYo0BwxsXqNm01IGEUdYcSSLTEv9YCik/edit?usp=sharing"",""เบิกจ่ายกองทุน!AJ75"")"),50660)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IFERROR(__xludf.DUMMYFUNCTION("IMPORTRANGE(""https://docs.google.com/spreadsheets/d/1ItG2mGa2ceCfYo0BwxsXqNm01IGEUdYcSSLTEv9YCik/edit?usp=sharing"",""เบิกจ่ายกองทุน!AK75"")"),50660)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IFERROR(__xludf.DUMMYFUNCTION("IMPORTRANGE(""https://docs.google.com/spreadsheets/d/1ItG2mGa2ceCfYo0BwxsXqNm01IGEUdYcSSLTEv9YCik/edit?usp=sharing"",""เบิกจ่ายกองทุน!AL75"")"),24079)</f>
        <v>24079</v>
      </c>
      <c r="T272" s="630">
        <f t="shared" ca="1" si="165"/>
        <v>47.530596131069878</v>
      </c>
      <c r="U272" s="630">
        <f t="shared" ca="1" si="166"/>
        <v>47.530596131069878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IFERROR(__xludf.DUMMYFUNCTION("IMPORTRANGE(""https://docs.google.com/spreadsheets/d/1-uDff_7J0KD5mKrp0Vvzr7lt3OU09vwQwhkpOPPYv2Y/edit?usp=sharing"",""งบพรบ!DH75"")"),0)</f>
        <v>0</v>
      </c>
      <c r="M275" s="630">
        <f ca="1">IFERROR(__xludf.DUMMYFUNCTION("IMPORTRANGE(""https://docs.google.com/spreadsheets/d/1-uDff_7J0KD5mKrp0Vvzr7lt3OU09vwQwhkpOPPYv2Y/edit?usp=sharing"",""งบพรบ!DK75"")"),0)</f>
        <v>0</v>
      </c>
      <c r="N275" s="630">
        <f ca="1">IFERROR(__xludf.DUMMYFUNCTION("IMPORTRANGE(""https://docs.google.com/spreadsheets/d/1-uDff_7J0KD5mKrp0Vvzr7lt3OU09vwQwhkpOPPYv2Y/edit?usp=sharing"",""งบพรบ!DM75"")"),0)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IFERROR(__xludf.DUMMYFUNCTION("IMPORTRANGE(""https://docs.google.com/spreadsheets/d/1eHaY18a8A9IcSdp1K8H6x8fbOy06t2VsZHhMHf-1x7Y/edit?usp=sharing"",""แผน!EC75"")"),22)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IFERROR(__xludf.DUMMYFUNCTION("IMPORTRANGE(""https://docs.google.com/spreadsheets/d/1-uDff_7J0KD5mKrp0Vvzr7lt3OU09vwQwhkpOPPYv2Y/edit?usp=sharing"",""งบพรบ!DO75"")"),0)</f>
        <v>0</v>
      </c>
      <c r="M288" s="46">
        <f ca="1">IFERROR(__xludf.DUMMYFUNCTION("IMPORTRANGE(""https://docs.google.com/spreadsheets/d/1-uDff_7J0KD5mKrp0Vvzr7lt3OU09vwQwhkpOPPYv2Y/edit?usp=sharing"",""งบพรบ!DT75"")"),0)</f>
        <v>0</v>
      </c>
      <c r="N288" s="46">
        <f ca="1">IFERROR(__xludf.DUMMYFUNCTION("IMPORTRANGE(""https://docs.google.com/spreadsheets/d/1-uDff_7J0KD5mKrp0Vvzr7lt3OU09vwQwhkpOPPYv2Y/edit?usp=sharing"",""งบพรบ!DV75"")"),0)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IFERROR(__xludf.DUMMYFUNCTION("IMPORTRANGE(""https://docs.google.com/spreadsheets/d/1-uDff_7J0KD5mKrp0Vvzr7lt3OU09vwQwhkpOPPYv2Y/edit?usp=sharing"",""งบพรบ!DR75"")"),0)</f>
        <v>0</v>
      </c>
      <c r="M291" s="46">
        <f ca="1">IFERROR(__xludf.DUMMYFUNCTION("IMPORTRANGE(""https://docs.google.com/spreadsheets/d/1-uDff_7J0KD5mKrp0Vvzr7lt3OU09vwQwhkpOPPYv2Y/edit?usp=sharing"",""งบพรบ!DU75"")"),0)</f>
        <v>0</v>
      </c>
      <c r="N291" s="46">
        <f ca="1">IFERROR(__xludf.DUMMYFUNCTION("IMPORTRANGE(""https://docs.google.com/spreadsheets/d/1-uDff_7J0KD5mKrp0Vvzr7lt3OU09vwQwhkpOPPYv2Y/edit?usp=sharing"",""งบพรบ!DW75"")"),0)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IFERROR(__xludf.DUMMYFUNCTION("IMPORTRANGE(""https://docs.google.com/spreadsheets/d/1eHaY18a8A9IcSdp1K8H6x8fbOy06t2VsZHhMHf-1x7Y/edit?usp=sharing"",""แผน!EE75"")"),0)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IFERROR(__xludf.DUMMYFUNCTION("IMPORTRANGE(""https://docs.google.com/spreadsheets/d/1eHaY18a8A9IcSdp1K8H6x8fbOy06t2VsZHhMHf-1x7Y/edit?usp=sharing"",""แผน!ED75"")"),0)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IFERROR(__xludf.DUMMYFUNCTION("IMPORTRANGE(""https://docs.google.com/spreadsheets/d/1eHaY18a8A9IcSdp1K8H6x8fbOy06t2VsZHhMHf-1x7Y/edit?usp=sharing"",""แผน!ED75"")"),0)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hidden="1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hidden="1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0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hidden="1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0</v>
      </c>
      <c r="R304" s="132">
        <f t="shared" ca="1" si="194"/>
        <v>0</v>
      </c>
      <c r="S304" s="132">
        <f t="shared" ca="1" si="194"/>
        <v>0</v>
      </c>
      <c r="T304" s="132">
        <f t="shared" ref="T304:T312" ca="1" si="195">IF(Q304&gt;0,S304*100/Q304,0)</f>
        <v>0</v>
      </c>
      <c r="U304" s="132">
        <f t="shared" ref="U304:U312" ca="1" si="196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0</v>
      </c>
      <c r="R306" s="46">
        <f t="shared" ca="1" si="198"/>
        <v>0</v>
      </c>
      <c r="S306" s="46">
        <f t="shared" ca="1" si="198"/>
        <v>0</v>
      </c>
      <c r="T306" s="46">
        <f t="shared" ca="1" si="195"/>
        <v>0</v>
      </c>
      <c r="U306" s="46">
        <f t="shared" ca="1" si="196"/>
        <v>0</v>
      </c>
    </row>
    <row r="307" spans="1:21" ht="18.75" hidden="1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0</v>
      </c>
      <c r="R307" s="46">
        <f t="shared" ca="1" si="200"/>
        <v>0</v>
      </c>
      <c r="S307" s="46">
        <f t="shared" ca="1" si="200"/>
        <v>0</v>
      </c>
      <c r="T307" s="46">
        <f t="shared" ca="1" si="195"/>
        <v>0</v>
      </c>
      <c r="U307" s="46">
        <f t="shared" ca="1" si="196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IFERROR(__xludf.DUMMYFUNCTION("IMPORTRANGE(""https://docs.google.com/spreadsheets/d/1-uDff_7J0KD5mKrp0Vvzr7lt3OU09vwQwhkpOPPYv2Y/edit?usp=sharing"",""งบพรบ!DY75"")"),0)</f>
        <v>0</v>
      </c>
      <c r="M309" s="46">
        <f ca="1">IFERROR(__xludf.DUMMYFUNCTION("IMPORTRANGE(""https://docs.google.com/spreadsheets/d/1-uDff_7J0KD5mKrp0Vvzr7lt3OU09vwQwhkpOPPYv2Y/edit?usp=sharing"",""งบพรบ!ED75"")"),0)</f>
        <v>0</v>
      </c>
      <c r="N309" s="46">
        <f ca="1">IFERROR(__xludf.DUMMYFUNCTION("IMPORTRANGE(""https://docs.google.com/spreadsheets/d/1-uDff_7J0KD5mKrp0Vvzr7lt3OU09vwQwhkpOPPYv2Y/edit?usp=sharing"",""งบพรบ!EF75"")"),0)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IFERROR(__xludf.DUMMYFUNCTION("IMPORTRANGE(""https://docs.google.com/spreadsheets/d/1ItG2mGa2ceCfYo0BwxsXqNm01IGEUdYcSSLTEv9YCik/edit?usp=sharing"",""เบิกจ่ายกองทุน!AP75"")"),0)</f>
        <v>0</v>
      </c>
      <c r="R309" s="46">
        <f ca="1">IFERROR(__xludf.DUMMYFUNCTION("IMPORTRANGE(""https://docs.google.com/spreadsheets/d/1ItG2mGa2ceCfYo0BwxsXqNm01IGEUdYcSSLTEv9YCik/edit?usp=sharing"",""เบิกจ่ายกองทุน!AQ75"")"),0)</f>
        <v>0</v>
      </c>
      <c r="S309" s="46">
        <f ca="1">IFERROR(__xludf.DUMMYFUNCTION("IMPORTRANGE(""https://docs.google.com/spreadsheets/d/1ItG2mGa2ceCfYo0BwxsXqNm01IGEUdYcSSLTEv9YCik/edit?usp=sharing"",""เบิกจ่ายกองทุน!AR75"")"),0)</f>
        <v>0</v>
      </c>
      <c r="T309" s="46">
        <f t="shared" ca="1" si="195"/>
        <v>0</v>
      </c>
      <c r="U309" s="46">
        <f t="shared" ca="1" si="196"/>
        <v>0</v>
      </c>
    </row>
    <row r="310" spans="1:21" ht="18.75" hidden="1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IFERROR(__xludf.DUMMYFUNCTION("IMPORTRANGE(""https://docs.google.com/spreadsheets/d/1-uDff_7J0KD5mKrp0Vvzr7lt3OU09vwQwhkpOPPYv2Y/edit?usp=sharing"",""งบพรบ!EB75"")"),0)</f>
        <v>0</v>
      </c>
      <c r="M312" s="46">
        <f ca="1">IFERROR(__xludf.DUMMYFUNCTION("IMPORTRANGE(""https://docs.google.com/spreadsheets/d/1-uDff_7J0KD5mKrp0Vvzr7lt3OU09vwQwhkpOPPYv2Y/edit?usp=sharing"",""งบพรบ!EE75"")"),0)</f>
        <v>0</v>
      </c>
      <c r="N312" s="46">
        <f ca="1">IFERROR(__xludf.DUMMYFUNCTION("IMPORTRANGE(""https://docs.google.com/spreadsheets/d/1-uDff_7J0KD5mKrp0Vvzr7lt3OU09vwQwhkpOPPYv2Y/edit?usp=sharing"",""งบพรบ!EG75"")"),0)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hidden="1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hidden="1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IFERROR(__xludf.DUMMYFUNCTION("IMPORTRANGE(""https://docs.google.com/spreadsheets/d/1eHaY18a8A9IcSdp1K8H6x8fbOy06t2VsZHhMHf-1x7Y/edit?usp=sharing"",""แผน!EF75"")"),0)</f>
        <v>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1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30000</v>
      </c>
      <c r="M321" s="132">
        <f t="shared" ca="1" si="204"/>
        <v>90000</v>
      </c>
      <c r="N321" s="132">
        <f t="shared" ca="1" si="204"/>
        <v>85550</v>
      </c>
      <c r="O321" s="132">
        <f t="shared" ref="O321:O329" ca="1" si="205">IF(L321&gt;0,N321*100/L321,0)</f>
        <v>285.16666666666669</v>
      </c>
      <c r="P321" s="132">
        <f t="shared" ref="P321:P329" ca="1" si="206">IF(M321&gt;0,N321*100/M321,0)</f>
        <v>95.055555555555557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30000</v>
      </c>
      <c r="M323" s="46">
        <f t="shared" ca="1" si="210"/>
        <v>90000</v>
      </c>
      <c r="N323" s="46">
        <f t="shared" ca="1" si="210"/>
        <v>85550</v>
      </c>
      <c r="O323" s="46">
        <f t="shared" ca="1" si="205"/>
        <v>285.16666666666669</v>
      </c>
      <c r="P323" s="46">
        <f t="shared" ca="1" si="206"/>
        <v>95.055555555555557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30000</v>
      </c>
      <c r="M324" s="46">
        <f t="shared" ca="1" si="212"/>
        <v>90000</v>
      </c>
      <c r="N324" s="46">
        <f t="shared" ca="1" si="212"/>
        <v>85550</v>
      </c>
      <c r="O324" s="46">
        <f t="shared" ca="1" si="205"/>
        <v>285.16666666666669</v>
      </c>
      <c r="P324" s="46">
        <f t="shared" ca="1" si="206"/>
        <v>95.055555555555557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IFERROR(__xludf.DUMMYFUNCTION("IMPORTRANGE(""https://docs.google.com/spreadsheets/d/1-uDff_7J0KD5mKrp0Vvzr7lt3OU09vwQwhkpOPPYv2Y/edit?usp=sharing"",""งบพรบ!EI75"")"),30000)</f>
        <v>30000</v>
      </c>
      <c r="M326" s="46">
        <f ca="1">IFERROR(__xludf.DUMMYFUNCTION("IMPORTRANGE(""https://docs.google.com/spreadsheets/d/1-uDff_7J0KD5mKrp0Vvzr7lt3OU09vwQwhkpOPPYv2Y/edit?usp=sharing"",""งบพรบ!EN75"")"),90000)</f>
        <v>90000</v>
      </c>
      <c r="N326" s="46">
        <f ca="1">IFERROR(__xludf.DUMMYFUNCTION("IMPORTRANGE(""https://docs.google.com/spreadsheets/d/1-uDff_7J0KD5mKrp0Vvzr7lt3OU09vwQwhkpOPPYv2Y/edit?usp=sharing"",""งบพรบ!EP75"")"),85550)</f>
        <v>85550</v>
      </c>
      <c r="O326" s="46">
        <f t="shared" ca="1" si="205"/>
        <v>285.16666666666669</v>
      </c>
      <c r="P326" s="46">
        <f t="shared" ca="1" si="206"/>
        <v>95.055555555555557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IFERROR(__xludf.DUMMYFUNCTION("IMPORTRANGE(""https://docs.google.com/spreadsheets/d/1-uDff_7J0KD5mKrp0Vvzr7lt3OU09vwQwhkpOPPYv2Y/edit?usp=sharing"",""งบพรบ!EL75"")"),0)</f>
        <v>0</v>
      </c>
      <c r="M329" s="46">
        <f ca="1">IFERROR(__xludf.DUMMYFUNCTION("IMPORTRANGE(""https://docs.google.com/spreadsheets/d/1-uDff_7J0KD5mKrp0Vvzr7lt3OU09vwQwhkpOPPYv2Y/edit?usp=sharing"",""งบพรบ!EO75"")"),0)</f>
        <v>0</v>
      </c>
      <c r="N329" s="46">
        <f ca="1">IFERROR(__xludf.DUMMYFUNCTION("IMPORTRANGE(""https://docs.google.com/spreadsheets/d/1-uDff_7J0KD5mKrp0Vvzr7lt3OU09vwQwhkpOPPYv2Y/edit?usp=sharing"",""งบพรบ!EQ75"")"),0)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IFERROR(__xludf.DUMMYFUNCTION("IMPORTRANGE(""https://docs.google.com/spreadsheets/d/1eHaY18a8A9IcSdp1K8H6x8fbOy06t2VsZHhMHf-1x7Y/edit?usp=sharing"",""แผน!EJ75"")"),1)</f>
        <v>1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1340</v>
      </c>
      <c r="J333" s="665">
        <f ca="1">J345+J348+J349+J350+J354</f>
        <v>5744</v>
      </c>
      <c r="K333" s="666">
        <f ca="1">IF(I333&gt;0,J333*100/I333,0)</f>
        <v>428.65671641791045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106000</v>
      </c>
      <c r="M334" s="132">
        <f t="shared" ca="1" si="216"/>
        <v>111000</v>
      </c>
      <c r="N334" s="132">
        <f t="shared" ca="1" si="216"/>
        <v>68626.67</v>
      </c>
      <c r="O334" s="132">
        <f t="shared" ref="O334:O342" ca="1" si="217">IF(L334&gt;0,N334*100/L334,0)</f>
        <v>64.742141509433964</v>
      </c>
      <c r="P334" s="132">
        <f t="shared" ref="P334:P342" ca="1" si="218">IF(M334&gt;0,N334*100/M334,0)</f>
        <v>61.825828828828826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106000</v>
      </c>
      <c r="M336" s="46">
        <f t="shared" ca="1" si="222"/>
        <v>111000</v>
      </c>
      <c r="N336" s="46">
        <f t="shared" ca="1" si="222"/>
        <v>68626.67</v>
      </c>
      <c r="O336" s="46">
        <f t="shared" ca="1" si="217"/>
        <v>64.742141509433964</v>
      </c>
      <c r="P336" s="46">
        <f t="shared" ca="1" si="218"/>
        <v>61.825828828828826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106000</v>
      </c>
      <c r="M337" s="46">
        <f t="shared" ca="1" si="224"/>
        <v>111000</v>
      </c>
      <c r="N337" s="46">
        <f t="shared" ca="1" si="224"/>
        <v>68626.67</v>
      </c>
      <c r="O337" s="46">
        <f t="shared" ca="1" si="217"/>
        <v>64.742141509433964</v>
      </c>
      <c r="P337" s="46">
        <f t="shared" ca="1" si="218"/>
        <v>61.825828828828826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IFERROR(__xludf.DUMMYFUNCTION("IMPORTRANGE(""https://docs.google.com/spreadsheets/d/1-uDff_7J0KD5mKrp0Vvzr7lt3OU09vwQwhkpOPPYv2Y/edit?usp=sharing"",""งบพรบ!ES75"")"),106000)</f>
        <v>106000</v>
      </c>
      <c r="M339" s="46">
        <f ca="1">IFERROR(__xludf.DUMMYFUNCTION("IMPORTRANGE(""https://docs.google.com/spreadsheets/d/1-uDff_7J0KD5mKrp0Vvzr7lt3OU09vwQwhkpOPPYv2Y/edit?usp=sharing"",""งบพรบ!EX75"")"),111000)</f>
        <v>111000</v>
      </c>
      <c r="N339" s="46">
        <f ca="1">IFERROR(__xludf.DUMMYFUNCTION("IMPORTRANGE(""https://docs.google.com/spreadsheets/d/1-uDff_7J0KD5mKrp0Vvzr7lt3OU09vwQwhkpOPPYv2Y/edit?usp=sharing"",""งบพรบ!EZ75"")"),68626.67)</f>
        <v>68626.67</v>
      </c>
      <c r="O339" s="46">
        <f t="shared" ca="1" si="217"/>
        <v>64.742141509433964</v>
      </c>
      <c r="P339" s="46">
        <f t="shared" ca="1" si="218"/>
        <v>61.825828828828826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IFERROR(__xludf.DUMMYFUNCTION("IMPORTRANGE(""https://docs.google.com/spreadsheets/d/1-uDff_7J0KD5mKrp0Vvzr7lt3OU09vwQwhkpOPPYv2Y/edit?usp=sharing"",""งบพรบ!EV75"")"),0)</f>
        <v>0</v>
      </c>
      <c r="M342" s="46">
        <f ca="1">IFERROR(__xludf.DUMMYFUNCTION("IMPORTRANGE(""https://docs.google.com/spreadsheets/d/1-uDff_7J0KD5mKrp0Vvzr7lt3OU09vwQwhkpOPPYv2Y/edit?usp=sharing"",""งบพรบ!EY75"")"),0)</f>
        <v>0</v>
      </c>
      <c r="N342" s="46">
        <f ca="1">IFERROR(__xludf.DUMMYFUNCTION("IMPORTRANGE(""https://docs.google.com/spreadsheets/d/1-uDff_7J0KD5mKrp0Vvzr7lt3OU09vwQwhkpOPPYv2Y/edit?usp=sharing"",""งบพรบ!FA75"")"),0)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1419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IFERROR(__xludf.DUMMYFUNCTION("IMPORTRANGE(""https://docs.google.com/spreadsheets/d/1eHaY18a8A9IcSdp1K8H6x8fbOy06t2VsZHhMHf-1x7Y/edit?usp=sharing"",""แผน!EK75"")"),1340)</f>
        <v>1340</v>
      </c>
      <c r="J345" s="152">
        <f ca="1">IFERROR(__xludf.DUMMYFUNCTION("IMPORTRANGE(""https://docs.google.com/spreadsheets/d/1awYsYK3VOup2i3Pq_Yjnu8DRu_mYwSBnCR2QPthd0rU/edit?usp=sharing"",""ศูนย์ยกเว้นโฉนด!D75"")"),1386)</f>
        <v>1386</v>
      </c>
      <c r="K345" s="46">
        <f ca="1">IF(I345&gt;0,J345*100/I345,0)</f>
        <v>103.43283582089552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IFERROR(__xludf.DUMMYFUNCTION("IMPORTRANGE(""https://docs.google.com/spreadsheets/d/1eHaY18a8A9IcSdp1K8H6x8fbOy06t2VsZHhMHf-1x7Y/edit?usp=sharing"",""แผน!EL75"")"),3)</f>
        <v>3</v>
      </c>
      <c r="J347" s="152">
        <f ca="1">IFERROR(__xludf.DUMMYFUNCTION("IMPORTRANGE(""https://docs.google.com/spreadsheets/d/1awYsYK3VOup2i3Pq_Yjnu8DRu_mYwSBnCR2QPthd0rU/edit?usp=sharing"",""ศูนย์รวม!E75"")"),4)</f>
        <v>4</v>
      </c>
      <c r="K347" s="46">
        <f ca="1">IF(I347&gt;0,J347*100/I347,0)</f>
        <v>133.33333333333334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IFERROR(__xludf.DUMMYFUNCTION("IMPORTRANGE(""https://docs.google.com/spreadsheets/d/1awYsYK3VOup2i3Pq_Yjnu8DRu_mYwSBnCR2QPthd0rU/edit?usp=sharing"",""ศูนย์ยกเว้นโฉนด!G75"")"),6)</f>
        <v>6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4590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IFERROR(__xludf.DUMMYFUNCTION("IMPORTRANGE(""https://docs.google.com/spreadsheets/d/1awYsYK3VOup2i3Pq_Yjnu8DRu_mYwSBnCR2QPthd0rU/edit?usp=sharing"",""โฉนดM3!G75"")"),265)</f>
        <v>265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IFERROR(__xludf.DUMMYFUNCTION("IMPORTRANGE(""https://docs.google.com/spreadsheets/d/1awYsYK3VOup2i3Pq_Yjnu8DRu_mYwSBnCR2QPthd0rU/edit?usp=sharing"",""โฉนดM3!H75"")"),4325)</f>
        <v>4325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584350</v>
      </c>
      <c r="M357" s="132">
        <f t="shared" ca="1" si="228"/>
        <v>647150</v>
      </c>
      <c r="N357" s="132">
        <f t="shared" ca="1" si="228"/>
        <v>366915.57</v>
      </c>
      <c r="O357" s="132">
        <f t="shared" ref="O357:O365" ca="1" si="229">IF(L357&gt;0,N357*100/L357,0)</f>
        <v>62.790377342346197</v>
      </c>
      <c r="P357" s="132">
        <f t="shared" ref="P357:P365" ca="1" si="230">IF(M357&gt;0,N357*100/M357,0)</f>
        <v>56.697144402379664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584350</v>
      </c>
      <c r="M359" s="46">
        <f t="shared" ca="1" si="234"/>
        <v>647150</v>
      </c>
      <c r="N359" s="46">
        <f t="shared" ca="1" si="234"/>
        <v>366915.57</v>
      </c>
      <c r="O359" s="46">
        <f t="shared" ca="1" si="229"/>
        <v>62.790377342346197</v>
      </c>
      <c r="P359" s="46">
        <f t="shared" ca="1" si="230"/>
        <v>56.697144402379664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584350</v>
      </c>
      <c r="M360" s="46">
        <f t="shared" ca="1" si="236"/>
        <v>647150</v>
      </c>
      <c r="N360" s="46">
        <f t="shared" ca="1" si="236"/>
        <v>366915.57</v>
      </c>
      <c r="O360" s="46">
        <f t="shared" ca="1" si="229"/>
        <v>62.790377342346197</v>
      </c>
      <c r="P360" s="46">
        <f t="shared" ca="1" si="230"/>
        <v>56.697144402379664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IFERROR(__xludf.DUMMYFUNCTION("IMPORTRANGE(""https://docs.google.com/spreadsheets/d/1-uDff_7J0KD5mKrp0Vvzr7lt3OU09vwQwhkpOPPYv2Y/edit?usp=sharing"",""งบพรบ!FC75"")"),584350)</f>
        <v>584350</v>
      </c>
      <c r="M362" s="46">
        <f ca="1">IFERROR(__xludf.DUMMYFUNCTION("IMPORTRANGE(""https://docs.google.com/spreadsheets/d/1-uDff_7J0KD5mKrp0Vvzr7lt3OU09vwQwhkpOPPYv2Y/edit?usp=sharing"",""งบพรบ!FH75"")"),647150)</f>
        <v>647150</v>
      </c>
      <c r="N362" s="46">
        <f ca="1">IFERROR(__xludf.DUMMYFUNCTION("IMPORTRANGE(""https://docs.google.com/spreadsheets/d/1-uDff_7J0KD5mKrp0Vvzr7lt3OU09vwQwhkpOPPYv2Y/edit?usp=sharing"",""งบพรบ!FJ75"")"),366915.57)</f>
        <v>366915.57</v>
      </c>
      <c r="O362" s="46">
        <f t="shared" ca="1" si="229"/>
        <v>62.790377342346197</v>
      </c>
      <c r="P362" s="46">
        <f t="shared" ca="1" si="230"/>
        <v>56.697144402379664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IFERROR(__xludf.DUMMYFUNCTION("IMPORTRANGE(""https://docs.google.com/spreadsheets/d/1-uDff_7J0KD5mKrp0Vvzr7lt3OU09vwQwhkpOPPYv2Y/edit?usp=sharing"",""งบพรบ!FF75"")"),0)</f>
        <v>0</v>
      </c>
      <c r="M365" s="46">
        <f ca="1">IFERROR(__xludf.DUMMYFUNCTION("IMPORTRANGE(""https://docs.google.com/spreadsheets/d/1-uDff_7J0KD5mKrp0Vvzr7lt3OU09vwQwhkpOPPYv2Y/edit?usp=sharing"",""งบพรบ!FI75"")"),0)</f>
        <v>0</v>
      </c>
      <c r="N365" s="46">
        <f ca="1">IFERROR(__xludf.DUMMYFUNCTION("IMPORTRANGE(""https://docs.google.com/spreadsheets/d/1-uDff_7J0KD5mKrp0Vvzr7lt3OU09vwQwhkpOPPYv2Y/edit?usp=sharing"",""งบพรบ!FK75"")"),0)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210</v>
      </c>
      <c r="J366" s="235">
        <f t="shared" ca="1" si="240"/>
        <v>211</v>
      </c>
      <c r="K366" s="236">
        <f ca="1">IF(I366&gt;0,J366*100/I366,0)</f>
        <v>100.47619047619048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IFERROR(__xludf.DUMMYFUNCTION("IMPORTRANGE(""https://docs.google.com/spreadsheets/d/1tdoBKaGub7dwA3U6UFTqxio9LNnvDCQjHKmttSEBsFQ/edit?usp=sharing"",""จัดที่ดิน!AB75"")"),147)</f>
        <v>147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IFERROR(__xludf.DUMMYFUNCTION("IMPORTRANGE(""https://docs.google.com/spreadsheets/d/1eHaY18a8A9IcSdp1K8H6x8fbOy06t2VsZHhMHf-1x7Y/edit?usp=sharing"",""แผน!EW75"")"),1750)</f>
        <v>1750</v>
      </c>
      <c r="J369" s="676">
        <f ca="1">IFERROR(__xludf.DUMMYFUNCTION("IMPORTRANGE(""https://docs.google.com/spreadsheets/d/1tdoBKaGub7dwA3U6UFTqxio9LNnvDCQjHKmttSEBsFQ/edit?usp=sharing"",""จัดที่ดิน!AC75"")"),1575.29)</f>
        <v>1575.29</v>
      </c>
      <c r="K369" s="46">
        <f t="shared" ca="1" si="241"/>
        <v>90.016571428571424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IFERROR(__xludf.DUMMYFUNCTION("IMPORTRANGE(""https://docs.google.com/spreadsheets/d/1eHaY18a8A9IcSdp1K8H6x8fbOy06t2VsZHhMHf-1x7Y/edit?usp=sharing"",""แผน!EX75"")"),305)</f>
        <v>305</v>
      </c>
      <c r="J370" s="152">
        <f ca="1">IFERROR(__xludf.DUMMYFUNCTION("IMPORTRANGE(""https://docs.google.com/spreadsheets/d/1tdoBKaGub7dwA3U6UFTqxio9LNnvDCQjHKmttSEBsFQ/edit?usp=sharing"",""จัดที่ดิน!AD75"")"),312)</f>
        <v>312</v>
      </c>
      <c r="K370" s="46">
        <f t="shared" ca="1" si="241"/>
        <v>102.29508196721312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IFERROR(__xludf.DUMMYFUNCTION("IMPORTRANGE(""https://docs.google.com/spreadsheets/d/1tdoBKaGub7dwA3U6UFTqxio9LNnvDCQjHKmttSEBsFQ/edit?usp=sharing"",""จัดที่ดิน!AE75"")"),4679.51)</f>
        <v>4679.51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IFERROR(__xludf.DUMMYFUNCTION("IMPORTRANGE(""https://docs.google.com/spreadsheets/d/1eHaY18a8A9IcSdp1K8H6x8fbOy06t2VsZHhMHf-1x7Y/edit?usp=sharing"",""แผน!EY75"")"),210)</f>
        <v>210</v>
      </c>
      <c r="J372" s="152">
        <f ca="1">IFERROR(__xludf.DUMMYFUNCTION("IMPORTRANGE(""https://docs.google.com/spreadsheets/d/1tdoBKaGub7dwA3U6UFTqxio9LNnvDCQjHKmttSEBsFQ/edit?usp=sharing"",""จัดที่ดิน!AF75"")"),211)</f>
        <v>211</v>
      </c>
      <c r="K372" s="46">
        <f t="shared" ca="1" si="241"/>
        <v>100.47619047619048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IFERROR(__xludf.DUMMYFUNCTION("IMPORTRANGE(""https://docs.google.com/spreadsheets/d/1tdoBKaGub7dwA3U6UFTqxio9LNnvDCQjHKmttSEBsFQ/edit?usp=sharing"",""จัดที่ดิน!AG75"")"),3227.96)</f>
        <v>3227.96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1000</v>
      </c>
      <c r="J375" s="684">
        <f t="shared" ca="1" si="242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62500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62500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62500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IFERROR(__xludf.DUMMYFUNCTION("IMPORTRANGE(""https://docs.google.com/spreadsheets/d/1ItG2mGa2ceCfYo0BwxsXqNm01IGEUdYcSSLTEv9YCik/edit?usp=sharing"",""เบิกจ่ายกองทุน!AY75"")"),62500)</f>
        <v>62500</v>
      </c>
      <c r="R381" s="46">
        <f ca="1">IFERROR(__xludf.DUMMYFUNCTION("IMPORTRANGE(""https://docs.google.com/spreadsheets/d/1ItG2mGa2ceCfYo0BwxsXqNm01IGEUdYcSSLTEv9YCik/edit?usp=sharing"",""เบิกจ่ายกองทุน!AZ75"")"),0)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IFERROR(__xludf.DUMMYFUNCTION("IMPORTRANGE(""https://docs.google.com/spreadsheets/d/1ItG2mGa2ceCfYo0BwxsXqNm01IGEUdYcSSLTEv9YCik/edit?usp=sharing"",""เบิกจ่ายกองทุน!BA75"")"),0)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IFERROR(__xludf.DUMMYFUNCTION("IMPORTRANGE(""https://docs.google.com/spreadsheets/d/1w5rwWK1o49a35cNtocGL0gxDwhFSTZUQu90BiH9_zqM/edit?usp=sharing"",""RTK!H75"")"),0)</f>
        <v>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IFERROR(__xludf.DUMMYFUNCTION("IMPORTRANGE(""https://docs.google.com/spreadsheets/d/1w5rwWK1o49a35cNtocGL0gxDwhFSTZUQu90BiH9_zqM/edit?usp=sharing"",""RTK!G75"")"),1000)</f>
        <v>1000</v>
      </c>
      <c r="J387" s="152">
        <f ca="1">IFERROR(__xludf.DUMMYFUNCTION("IMPORTRANGE(""https://docs.google.com/spreadsheets/d/1w5rwWK1o49a35cNtocGL0gxDwhFSTZUQu90BiH9_zqM/edit?usp=sharing"",""RTK!I75"")"),0)</f>
        <v>0</v>
      </c>
      <c r="K387" s="46">
        <f t="shared" ca="1" si="255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IFERROR(__xludf.DUMMYFUNCTION("IMPORTRANGE(""https://docs.google.com/spreadsheets/d/1w5rwWK1o49a35cNtocGL0gxDwhFSTZUQu90BiH9_zqM/edit?usp=sharing"",""RTK!L75"")"),0)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IFERROR(__xludf.DUMMYFUNCTION("IMPORTRANGE(""https://docs.google.com/spreadsheets/d/1w5rwWK1o49a35cNtocGL0gxDwhFSTZUQu90BiH9_zqM/edit?usp=sharing"",""RTK!K75"")"),0)</f>
        <v>0</v>
      </c>
      <c r="J389" s="691">
        <f ca="1">IFERROR(__xludf.DUMMYFUNCTION("IMPORTRANGE(""https://docs.google.com/spreadsheets/d/1w5rwWK1o49a35cNtocGL0gxDwhFSTZUQu90BiH9_zqM/edit?usp=sharing"",""RTK!M75"")"),0)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IFERROR(__xludf.DUMMYFUNCTION("IMPORTRANGE(""https://docs.google.com/spreadsheets/d/1ItG2mGa2ceCfYo0BwxsXqNm01IGEUdYcSSLTEv9YCik/edit?usp=sharing"",""เบิกจ่ายกองทุน!BH75"")"),0)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IFERROR(__xludf.DUMMYFUNCTION("IMPORTRANGE(""https://docs.google.com/spreadsheets/d/1ItG2mGa2ceCfYo0BwxsXqNm01IGEUdYcSSLTEv9YCik/edit?usp=sharing"",""เบิกจ่ายกองทุน!BI75"")"),0)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IFERROR(__xludf.DUMMYFUNCTION("IMPORTRANGE(""https://docs.google.com/spreadsheets/d/1ItG2mGa2ceCfYo0BwxsXqNm01IGEUdYcSSLTEv9YCik/edit?usp=sharing"",""เบิกจ่ายกองทุน!BJ75"")"),0)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IFERROR(__xludf.DUMMYFUNCTION("IMPORTRANGE(""https://docs.google.com/spreadsheets/d/1eHaY18a8A9IcSdp1K8H6x8fbOy06t2VsZHhMHf-1x7Y/edit?usp=sharing"",""แผน!HJ75"")"),0)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IFERROR(__xludf.DUMMYFUNCTION("IMPORTRANGE(""https://docs.google.com/spreadsheets/d/1eHaY18a8A9IcSdp1K8H6x8fbOy06t2VsZHhMHf-1x7Y/edit?usp=sharing"",""แผน!HK75"")"),0)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IFERROR(__xludf.DUMMYFUNCTION("IMPORTRANGE(""https://docs.google.com/spreadsheets/d/1eHaY18a8A9IcSdp1K8H6x8fbOy06t2VsZHhMHf-1x7Y/edit?usp=sharing"",""แผน!HJ75"")"),0)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IFERROR(__xludf.DUMMYFUNCTION("IMPORTRANGE(""https://docs.google.com/spreadsheets/d/1eHaY18a8A9IcSdp1K8H6x8fbOy06t2VsZHhMHf-1x7Y/edit?usp=sharing"",""แผน!HK75"")"),0)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IFERROR(__xludf.DUMMYFUNCTION("IMPORTRANGE(""https://docs.google.com/spreadsheets/d/1eHaY18a8A9IcSdp1K8H6x8fbOy06t2VsZHhMHf-1x7Y/edit?usp=sharing"",""แผน!HJ75"")"),0)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IFERROR(__xludf.DUMMYFUNCTION("IMPORTRANGE(""https://docs.google.com/spreadsheets/d/1eHaY18a8A9IcSdp1K8H6x8fbOy06t2VsZHhMHf-1x7Y/edit?usp=sharing"",""แผน!HK75"")"),0)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IFERROR(__xludf.DUMMYFUNCTION("IMPORTRANGE(""https://docs.google.com/spreadsheets/d/1eHaY18a8A9IcSdp1K8H6x8fbOy06t2VsZHhMHf-1x7Y/edit?usp=sharing"",""แผน!HL75"")"),0)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IFERROR(__xludf.DUMMYFUNCTION("IMPORTRANGE(""https://docs.google.com/spreadsheets/d/1eHaY18a8A9IcSdp1K8H6x8fbOy06t2VsZHhMHf-1x7Y/edit?usp=sharing"",""แผน!HM75"")"),0)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IFERROR(__xludf.DUMMYFUNCTION("IMPORTRANGE(""https://docs.google.com/spreadsheets/d/1eHaY18a8A9IcSdp1K8H6x8fbOy06t2VsZHhMHf-1x7Y/edit?usp=sharing"",""แผน!HN75"")"),0)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IFERROR(__xludf.DUMMYFUNCTION("IMPORTRANGE(""https://docs.google.com/spreadsheets/d/1eHaY18a8A9IcSdp1K8H6x8fbOy06t2VsZHhMHf-1x7Y/edit?usp=sharing"",""แผน!HO75"")"),0)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100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1169450</v>
      </c>
      <c r="R494" s="132">
        <f t="shared" ca="1" si="304"/>
        <v>1169450</v>
      </c>
      <c r="S494" s="132">
        <f t="shared" ca="1" si="304"/>
        <v>11466.59</v>
      </c>
      <c r="T494" s="132">
        <f t="shared" ref="T494:T502" ca="1" si="305">IF(Q494&gt;0,S494*100/Q494,0)</f>
        <v>0.98051135149001667</v>
      </c>
      <c r="U494" s="132">
        <f t="shared" ref="U494:U502" ca="1" si="306">IF(R494&gt;0,S494*100/R494,0)</f>
        <v>0.98051135149001667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1169450</v>
      </c>
      <c r="R496" s="46">
        <f t="shared" ca="1" si="308"/>
        <v>1169450</v>
      </c>
      <c r="S496" s="46">
        <f t="shared" ca="1" si="308"/>
        <v>11466.59</v>
      </c>
      <c r="T496" s="46">
        <f t="shared" ca="1" si="305"/>
        <v>0.98051135149001667</v>
      </c>
      <c r="U496" s="46">
        <f t="shared" ca="1" si="306"/>
        <v>0.98051135149001667</v>
      </c>
    </row>
    <row r="497" spans="1:21" ht="18.75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1169450</v>
      </c>
      <c r="R497" s="46">
        <f t="shared" ca="1" si="310"/>
        <v>1169450</v>
      </c>
      <c r="S497" s="46">
        <f t="shared" ca="1" si="310"/>
        <v>11466.59</v>
      </c>
      <c r="T497" s="46">
        <f t="shared" ca="1" si="305"/>
        <v>0.98051135149001667</v>
      </c>
      <c r="U497" s="46">
        <f t="shared" ca="1" si="306"/>
        <v>0.98051135149001667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IFERROR(__xludf.DUMMYFUNCTION("IMPORTRANGE(""https://docs.google.com/spreadsheets/d/1ItG2mGa2ceCfYo0BwxsXqNm01IGEUdYcSSLTEv9YCik/edit?usp=sharing"",""เบิกจ่ายกองทุน!X75"")"),1169450)</f>
        <v>1169450</v>
      </c>
      <c r="R499" s="46">
        <f ca="1">IFERROR(__xludf.DUMMYFUNCTION("IMPORTRANGE(""https://docs.google.com/spreadsheets/d/1ItG2mGa2ceCfYo0BwxsXqNm01IGEUdYcSSLTEv9YCik/edit?usp=sharing"",""เบิกจ่ายกองทุน!Y75"")"),1169450)</f>
        <v>1169450</v>
      </c>
      <c r="S499" s="46">
        <f ca="1">IFERROR(__xludf.DUMMYFUNCTION("IMPORTRANGE(""https://docs.google.com/spreadsheets/d/1ItG2mGa2ceCfYo0BwxsXqNm01IGEUdYcSSLTEv9YCik/edit?usp=sharing"",""เบิกจ่ายกองทุน!Z75"")"),11466.59)</f>
        <v>11466.59</v>
      </c>
      <c r="T499" s="46">
        <f t="shared" ca="1" si="305"/>
        <v>0.98051135149001667</v>
      </c>
      <c r="U499" s="46">
        <f t="shared" ca="1" si="306"/>
        <v>0.98051135149001667</v>
      </c>
    </row>
    <row r="500" spans="1:21" ht="18.75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IFERROR(__xludf.DUMMYFUNCTION("IMPORTRANGE(""https://docs.google.com/spreadsheets/d/1eHaY18a8A9IcSdp1K8H6x8fbOy06t2VsZHhMHf-1x7Y/edit?usp=sharing"",""แผน!GX75"")"),100)</f>
        <v>100</v>
      </c>
      <c r="J504" s="147">
        <f ca="1">IF(AND(J505=I504,J506=I504,J507=I504,J508=I504),I504,0)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IFERROR(__xludf.DUMMYFUNCTION("IMPORTRANGE(""https://docs.google.com/spreadsheets/d/1eHaY18a8A9IcSdp1K8H6x8fbOy06t2VsZHhMHf-1x7Y/edit?usp=sharing"",""แผน!GY75"")"),0)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IFERROR(__xludf.DUMMYFUNCTION("IMPORTRANGE(""https://docs.google.com/spreadsheets/d/1eHaY18a8A9IcSdp1K8H6x8fbOy06t2VsZHhMHf-1x7Y/edit?usp=sharing"",""แผน!GZ75"")"),0)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IFERROR(__xludf.DUMMYFUNCTION("IMPORTRANGE(""https://docs.google.com/spreadsheets/d/1eHaY18a8A9IcSdp1K8H6x8fbOy06t2VsZHhMHf-1x7Y/edit?usp=sharing"",""แผน!HA75"")"),0)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IFERROR(__xludf.DUMMYFUNCTION("IMPORTRANGE(""https://docs.google.com/spreadsheets/d/1eHaY18a8A9IcSdp1K8H6x8fbOy06t2VsZHhMHf-1x7Y/edit?usp=sharing"",""แผน!HB75"")"),0)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IFERROR(__xludf.DUMMYFUNCTION("IMPORTRANGE(""https://docs.google.com/spreadsheets/d/1eHaY18a8A9IcSdp1K8H6x8fbOy06t2VsZHhMHf-1x7Y/edit?usp=sharing"",""แผน!HC75"")"),0)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698" t="s">
        <v>205</v>
      </c>
      <c r="B511" s="699"/>
      <c r="C511" s="699"/>
      <c r="D511" s="699"/>
      <c r="E511" s="700"/>
      <c r="F511" s="700"/>
      <c r="G511" s="700"/>
      <c r="H511" s="700"/>
      <c r="I511" s="701"/>
      <c r="J511" s="701"/>
      <c r="K511" s="702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x14ac:dyDescent="0.3">
      <c r="A512" s="704" t="s">
        <v>206</v>
      </c>
      <c r="B512" s="705"/>
      <c r="C512" s="705"/>
      <c r="D512" s="706"/>
      <c r="E512" s="705"/>
      <c r="F512" s="705"/>
      <c r="G512" s="705"/>
      <c r="H512" s="707"/>
      <c r="I512" s="708"/>
      <c r="J512" s="708"/>
      <c r="K512" s="709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x14ac:dyDescent="0.3">
      <c r="A513" s="711"/>
      <c r="B513" s="712" t="s">
        <v>207</v>
      </c>
      <c r="C513" s="713"/>
      <c r="D513" s="714"/>
      <c r="E513" s="714"/>
      <c r="F513" s="714"/>
      <c r="G513" s="715"/>
      <c r="H513" s="716" t="s">
        <v>61</v>
      </c>
      <c r="I513" s="717">
        <f t="shared" ref="I513:J513" si="314">I525</f>
        <v>0</v>
      </c>
      <c r="J513" s="717">
        <f t="shared" si="314"/>
        <v>0</v>
      </c>
      <c r="K513" s="718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x14ac:dyDescent="0.3">
      <c r="A514" s="617"/>
      <c r="B514" s="618"/>
      <c r="C514" s="619" t="s">
        <v>18</v>
      </c>
      <c r="D514" s="620" t="s">
        <v>19</v>
      </c>
      <c r="E514" s="618"/>
      <c r="F514" s="618"/>
      <c r="G514" s="621"/>
      <c r="H514" s="622" t="s">
        <v>14</v>
      </c>
      <c r="I514" s="623"/>
      <c r="J514" s="623"/>
      <c r="K514" s="624"/>
      <c r="L514" s="545">
        <f t="shared" ref="L514:N514" ca="1" si="315">L515+L516</f>
        <v>12445400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575"/>
      <c r="B515" s="576"/>
      <c r="C515" s="576"/>
      <c r="D515" s="576"/>
      <c r="E515" s="157" t="s">
        <v>20</v>
      </c>
      <c r="F515" s="576"/>
      <c r="G515" s="579"/>
      <c r="H515" s="158" t="s">
        <v>14</v>
      </c>
      <c r="I515" s="586"/>
      <c r="J515" s="586"/>
      <c r="K515" s="587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617"/>
      <c r="B516" s="618"/>
      <c r="C516" s="618"/>
      <c r="D516" s="618"/>
      <c r="E516" s="627" t="s">
        <v>21</v>
      </c>
      <c r="F516" s="618"/>
      <c r="G516" s="621"/>
      <c r="H516" s="628" t="s">
        <v>14</v>
      </c>
      <c r="I516" s="623"/>
      <c r="J516" s="623"/>
      <c r="K516" s="624"/>
      <c r="L516" s="519">
        <f t="shared" ca="1" si="321"/>
        <v>12445400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x14ac:dyDescent="0.25">
      <c r="A517" s="617"/>
      <c r="B517" s="618"/>
      <c r="C517" s="618"/>
      <c r="D517" s="631" t="s">
        <v>22</v>
      </c>
      <c r="E517" s="618"/>
      <c r="F517" s="618"/>
      <c r="G517" s="621"/>
      <c r="H517" s="632" t="s">
        <v>14</v>
      </c>
      <c r="I517" s="633"/>
      <c r="J517" s="633"/>
      <c r="K517" s="634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575"/>
      <c r="B518" s="576"/>
      <c r="C518" s="576"/>
      <c r="D518" s="576"/>
      <c r="E518" s="157" t="s">
        <v>36</v>
      </c>
      <c r="F518" s="576"/>
      <c r="G518" s="579"/>
      <c r="H518" s="160" t="s">
        <v>14</v>
      </c>
      <c r="I518" s="580"/>
      <c r="J518" s="580"/>
      <c r="K518" s="581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617"/>
      <c r="B519" s="618"/>
      <c r="C519" s="618"/>
      <c r="D519" s="618"/>
      <c r="E519" s="627" t="s">
        <v>37</v>
      </c>
      <c r="F519" s="618"/>
      <c r="G519" s="621"/>
      <c r="H519" s="632" t="s">
        <v>14</v>
      </c>
      <c r="I519" s="633"/>
      <c r="J519" s="633"/>
      <c r="K519" s="634"/>
      <c r="L519" s="519">
        <f ca="1">IFERROR(__xludf.DUMMYFUNCTION("IMPORTRANGE(""https://docs.google.com/spreadsheets/d/1-uDff_7J0KD5mKrp0Vvzr7lt3OU09vwQwhkpOPPYv2Y/edit?usp=sharing"",""งบพรบ!FM75"")"),0)</f>
        <v>0</v>
      </c>
      <c r="M519" s="46">
        <f ca="1">IFERROR(__xludf.DUMMYFUNCTION("IMPORTRANGE(""https://docs.google.com/spreadsheets/d/1-uDff_7J0KD5mKrp0Vvzr7lt3OU09vwQwhkpOPPYv2Y/edit?usp=sharing"",""งบพรบ!FR75"")"),0)</f>
        <v>0</v>
      </c>
      <c r="N519" s="46">
        <f ca="1">IFERROR(__xludf.DUMMYFUNCTION("IMPORTRANGE(""https://docs.google.com/spreadsheets/d/1-uDff_7J0KD5mKrp0Vvzr7lt3OU09vwQwhkpOPPYv2Y/edit?usp=sharing"",""งบพรบ!FT75"")"),0)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x14ac:dyDescent="0.25">
      <c r="A520" s="617"/>
      <c r="B520" s="618"/>
      <c r="C520" s="618"/>
      <c r="D520" s="631" t="s">
        <v>23</v>
      </c>
      <c r="E520" s="618"/>
      <c r="F520" s="618"/>
      <c r="G520" s="621"/>
      <c r="H520" s="635" t="s">
        <v>14</v>
      </c>
      <c r="I520" s="633"/>
      <c r="J520" s="633"/>
      <c r="K520" s="634"/>
      <c r="L520" s="519">
        <f t="shared" ref="L520:N520" ca="1" si="325">L521+L522</f>
        <v>12445400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575"/>
      <c r="B521" s="576"/>
      <c r="C521" s="576"/>
      <c r="D521" s="576"/>
      <c r="E521" s="157" t="s">
        <v>20</v>
      </c>
      <c r="F521" s="576"/>
      <c r="G521" s="579"/>
      <c r="H521" s="160" t="s">
        <v>14</v>
      </c>
      <c r="I521" s="580"/>
      <c r="J521" s="580"/>
      <c r="K521" s="581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617"/>
      <c r="B522" s="618"/>
      <c r="C522" s="618"/>
      <c r="D522" s="618"/>
      <c r="E522" s="627" t="s">
        <v>21</v>
      </c>
      <c r="F522" s="618"/>
      <c r="G522" s="621"/>
      <c r="H522" s="635" t="s">
        <v>14</v>
      </c>
      <c r="I522" s="633"/>
      <c r="J522" s="633"/>
      <c r="K522" s="634"/>
      <c r="L522" s="519">
        <f ca="1">IFERROR(__xludf.DUMMYFUNCTION("IMPORTRANGE(""https://docs.google.com/spreadsheets/d/1-uDff_7J0KD5mKrp0Vvzr7lt3OU09vwQwhkpOPPYv2Y/edit?usp=sharing"",""งบพรบ!FP75"")"),12445400)</f>
        <v>12445400</v>
      </c>
      <c r="M522" s="46">
        <f ca="1">IFERROR(__xludf.DUMMYFUNCTION("IMPORTRANGE(""https://docs.google.com/spreadsheets/d/1-uDff_7J0KD5mKrp0Vvzr7lt3OU09vwQwhkpOPPYv2Y/edit?usp=sharing"",""งบพรบ!FS75"")"),0)</f>
        <v>0</v>
      </c>
      <c r="N522" s="46">
        <f ca="1">IFERROR(__xludf.DUMMYFUNCTION("IMPORTRANGE(""https://docs.google.com/spreadsheets/d/1-uDff_7J0KD5mKrp0Vvzr7lt3OU09vwQwhkpOPPYv2Y/edit?usp=sharing"",""งบพรบ!FU75"")"),0)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x14ac:dyDescent="0.3">
      <c r="A523" s="636"/>
      <c r="B523" s="637"/>
      <c r="C523" s="619" t="s">
        <v>18</v>
      </c>
      <c r="D523" s="638" t="s">
        <v>38</v>
      </c>
      <c r="E523" s="610"/>
      <c r="F523" s="610"/>
      <c r="G523" s="611"/>
      <c r="H523" s="639"/>
      <c r="I523" s="633"/>
      <c r="J523" s="623"/>
      <c r="K523" s="624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x14ac:dyDescent="0.25">
      <c r="A524" s="720"/>
      <c r="B524" s="618"/>
      <c r="C524" s="688"/>
      <c r="D524" s="721" t="s">
        <v>208</v>
      </c>
      <c r="E524" s="637"/>
      <c r="F524" s="618"/>
      <c r="G524" s="621"/>
      <c r="H524" s="722" t="s">
        <v>11</v>
      </c>
      <c r="I524" s="691">
        <v>0</v>
      </c>
      <c r="J524" s="723">
        <v>0</v>
      </c>
      <c r="K524" s="630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x14ac:dyDescent="0.25">
      <c r="A525" s="724"/>
      <c r="B525" s="725"/>
      <c r="C525" s="726"/>
      <c r="D525" s="727" t="s">
        <v>209</v>
      </c>
      <c r="E525" s="728"/>
      <c r="F525" s="725"/>
      <c r="G525" s="729"/>
      <c r="H525" s="730" t="s">
        <v>61</v>
      </c>
      <c r="I525" s="731">
        <v>0</v>
      </c>
      <c r="J525" s="732">
        <v>0</v>
      </c>
      <c r="K525" s="733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1800</v>
      </c>
      <c r="R617" s="132">
        <f t="shared" ca="1" si="383"/>
        <v>1800</v>
      </c>
      <c r="S617" s="132">
        <f t="shared" ca="1" si="383"/>
        <v>600</v>
      </c>
      <c r="T617" s="132">
        <f t="shared" ref="T617:T625" ca="1" si="384">IF(Q617&gt;0,S617*100/Q617,0)</f>
        <v>33.333333333333336</v>
      </c>
      <c r="U617" s="132">
        <f t="shared" ref="U617:U625" ca="1" si="385">IF(R617&gt;0,S617*100/R617,0)</f>
        <v>33.333333333333336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1800</v>
      </c>
      <c r="R619" s="46">
        <f t="shared" ca="1" si="387"/>
        <v>1800</v>
      </c>
      <c r="S619" s="46">
        <f t="shared" ca="1" si="387"/>
        <v>600</v>
      </c>
      <c r="T619" s="46">
        <f t="shared" ca="1" si="384"/>
        <v>33.333333333333336</v>
      </c>
      <c r="U619" s="46">
        <f t="shared" ca="1" si="385"/>
        <v>33.333333333333336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1800</v>
      </c>
      <c r="R620" s="46">
        <f t="shared" ca="1" si="389"/>
        <v>1800</v>
      </c>
      <c r="S620" s="46">
        <f t="shared" ca="1" si="389"/>
        <v>600</v>
      </c>
      <c r="T620" s="46">
        <f t="shared" ca="1" si="384"/>
        <v>33.333333333333336</v>
      </c>
      <c r="U620" s="46">
        <f t="shared" ca="1" si="385"/>
        <v>33.333333333333336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IFERROR(__xludf.DUMMYFUNCTION("IMPORTRANGE(""https://docs.google.com/spreadsheets/d/1ItG2mGa2ceCfYo0BwxsXqNm01IGEUdYcSSLTEv9YCik/edit?usp=sharing"",""เบิกจ่ายกองทุน!F75"")"),1800)</f>
        <v>1800</v>
      </c>
      <c r="R622" s="46">
        <f ca="1">IFERROR(__xludf.DUMMYFUNCTION("IMPORTRANGE(""https://docs.google.com/spreadsheets/d/1ItG2mGa2ceCfYo0BwxsXqNm01IGEUdYcSSLTEv9YCik/edit?usp=sharing"",""เบิกจ่ายกองทุน!G75"")"),1800)</f>
        <v>1800</v>
      </c>
      <c r="S622" s="46">
        <f ca="1">IFERROR(__xludf.DUMMYFUNCTION("IMPORTRANGE(""https://docs.google.com/spreadsheets/d/1ItG2mGa2ceCfYo0BwxsXqNm01IGEUdYcSSLTEv9YCik/edit?usp=sharing"",""เบิกจ่ายกองทุน!H75"")"),600)</f>
        <v>600</v>
      </c>
      <c r="T622" s="46">
        <f t="shared" ca="1" si="384"/>
        <v>33.333333333333336</v>
      </c>
      <c r="U622" s="46">
        <f t="shared" ca="1" si="385"/>
        <v>33.333333333333336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IFERROR(__xludf.DUMMYFUNCTION("IMPORTRANGE(""https://docs.google.com/spreadsheets/d/1eHaY18a8A9IcSdp1K8H6x8fbOy06t2VsZHhMHf-1x7Y/edit?usp=sharing"",""แผน!ID75"")"),0)</f>
        <v>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8">
        <v>0</v>
      </c>
      <c r="K628" s="46">
        <f t="shared" ref="K628:K629" ca="1" si="392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IFERROR(__xludf.DUMMYFUNCTION("IMPORTRANGE(""https://docs.google.com/spreadsheets/d/1eHaY18a8A9IcSdp1K8H6x8fbOy06t2VsZHhMHf-1x7Y/edit?usp=sharing"",""แผน!IC75"")"),1)</f>
        <v>1</v>
      </c>
      <c r="J629" s="168">
        <v>0</v>
      </c>
      <c r="K629" s="46">
        <f t="shared" ca="1" si="392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IFERROR(__xludf.DUMMYFUNCTION("IMPORTRANGE(""https://docs.google.com/spreadsheets/d/1eHaY18a8A9IcSdp1K8H6x8fbOy06t2VsZHhMHf-1x7Y/edit?usp=sharing"",""แผน!IE75"")"),0)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0</v>
      </c>
      <c r="R643" s="132">
        <f t="shared" ca="1" si="397"/>
        <v>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0</v>
      </c>
      <c r="R645" s="46">
        <f t="shared" ca="1" si="401"/>
        <v>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0</v>
      </c>
      <c r="R646" s="46">
        <f t="shared" ca="1" si="403"/>
        <v>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IFERROR(__xludf.DUMMYFUNCTION("IMPORTRANGE(""https://docs.google.com/spreadsheets/d/1ItG2mGa2ceCfYo0BwxsXqNm01IGEUdYcSSLTEv9YCik/edit?usp=sharing"",""เบิกจ่ายกองทุน!I75"")"),0)</f>
        <v>0</v>
      </c>
      <c r="R648" s="46">
        <f ca="1">IFERROR(__xludf.DUMMYFUNCTION("IMPORTRANGE(""https://docs.google.com/spreadsheets/d/1ItG2mGa2ceCfYo0BwxsXqNm01IGEUdYcSSLTEv9YCik/edit?usp=sharing"",""เบิกจ่ายกองทุน!J75"")"),0)</f>
        <v>0</v>
      </c>
      <c r="S648" s="46">
        <f ca="1">IFERROR(__xludf.DUMMYFUNCTION("IMPORTRANGE(""https://docs.google.com/spreadsheets/d/1ItG2mGa2ceCfYo0BwxsXqNm01IGEUdYcSSLTEv9YCik/edit?usp=sharing"",""เบิกจ่ายกองทุน!K75"")"),0)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IFERROR(__xludf.DUMMYFUNCTION("IMPORTRANGE(""https://docs.google.com/spreadsheets/d/1eHaY18a8A9IcSdp1K8H6x8fbOy06t2VsZHhMHf-1x7Y/edit?usp=sharing"",""แผน!IF75"")"),0)</f>
        <v>0</v>
      </c>
      <c r="J653" s="152">
        <f ca="1">IFERROR(__xludf.DUMMYFUNCTION("IMPORTRANGE(""https://docs.google.com/spreadsheets/d/1tdoBKaGub7dwA3U6UFTqxio9LNnvDCQjHKmttSEBsFQ/edit?usp=sharing"",""จัดที่ดิน!AU75"")"),0)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IFERROR(__xludf.DUMMYFUNCTION("IMPORTRANGE(""https://docs.google.com/spreadsheets/d/1eHaY18a8A9IcSdp1K8H6x8fbOy06t2VsZHhMHf-1x7Y/edit?usp=sharing"",""แผน!IG75"")"),0)</f>
        <v>0</v>
      </c>
      <c r="J654" s="152">
        <f ca="1">IFERROR(__xludf.DUMMYFUNCTION("IMPORTRANGE(""https://docs.google.com/spreadsheets/d/1tdoBKaGub7dwA3U6UFTqxio9LNnvDCQjHKmttSEBsFQ/edit?usp=sharing"",""จัดที่ดิน!AW75"")"),0)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IFERROR(__xludf.DUMMYFUNCTION("IMPORTRANGE(""https://docs.google.com/spreadsheets/d/1eHaY18a8A9IcSdp1K8H6x8fbOy06t2VsZHhMHf-1x7Y/edit?usp=sharing"",""แผน!IH75"")"),0)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IFERROR(__xludf.DUMMYFUNCTION("IMPORTRANGE(""https://docs.google.com/spreadsheets/d/1eHaY18a8A9IcSdp1K8H6x8fbOy06t2VsZHhMHf-1x7Y/edit?usp=sharing"",""แผน!II75"")"),0)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IFERROR(__xludf.DUMMYFUNCTION("IMPORTRANGE(""https://docs.google.com/spreadsheets/d/1eHaY18a8A9IcSdp1K8H6x8fbOy06t2VsZHhMHf-1x7Y/edit?usp=sharing"",""แผน!IJ75"")"),0)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IFERROR(__xludf.DUMMYFUNCTION("IMPORTRANGE(""https://docs.google.com/spreadsheets/d/1eHaY18a8A9IcSdp1K8H6x8fbOy06t2VsZHhMHf-1x7Y/edit?usp=sharing"",""แผน!IK75"")"),0)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IFERROR(__xludf.DUMMYFUNCTION("IMPORTRANGE(""https://docs.google.com/spreadsheets/d/1tdoBKaGub7dwA3U6UFTqxio9LNnvDCQjHKmttSEBsFQ/edit?usp=sharing"",""จัดที่ดิน!AY75"")"),0)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IFERROR(__xludf.DUMMYFUNCTION("IMPORTRANGE(""https://docs.google.com/spreadsheets/d/1tdoBKaGub7dwA3U6UFTqxio9LNnvDCQjHKmttSEBsFQ/edit?usp=sharing"",""จัดที่ดิน!AZ75"")"),0)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IFERROR(__xludf.DUMMYFUNCTION("IMPORTRANGE(""https://docs.google.com/spreadsheets/d/1eHaY18a8A9IcSdp1K8H6x8fbOy06t2VsZHhMHf-1x7Y/edit?usp=sharing"",""แผน!IL75"")"),0)</f>
        <v>0</v>
      </c>
      <c r="J674" s="152">
        <f ca="1">IFERROR(__xludf.DUMMYFUNCTION("IMPORTRANGE(""https://docs.google.com/spreadsheets/d/1tdoBKaGub7dwA3U6UFTqxio9LNnvDCQjHKmttSEBsFQ/edit?usp=sharing"",""จัดที่ดิน!BA75"")"),0)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IFERROR(__xludf.DUMMYFUNCTION("IMPORTRANGE(""https://docs.google.com/spreadsheets/d/1eHaY18a8A9IcSdp1K8H6x8fbOy06t2VsZHhMHf-1x7Y/edit?usp=sharing"",""แผน!IM75"")"),0)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IFERROR(__xludf.DUMMYFUNCTION("IMPORTRANGE(""https://docs.google.com/spreadsheets/d/1eHaY18a8A9IcSdp1K8H6x8fbOy06t2VsZHhMHf-1x7Y/edit?usp=sharing"",""แผน!IN75"")"),0)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IFERROR(__xludf.DUMMYFUNCTION("IMPORTRANGE(""https://docs.google.com/spreadsheets/d/1eHaY18a8A9IcSdp1K8H6x8fbOy06t2VsZHhMHf-1x7Y/edit?usp=sharing"",""แผน!IO75"")"),0)</f>
        <v>0</v>
      </c>
      <c r="J677" s="152">
        <f ca="1">IFERROR(__xludf.DUMMYFUNCTION("IMPORTRANGE(""https://docs.google.com/spreadsheets/d/1tdoBKaGub7dwA3U6UFTqxio9LNnvDCQjHKmttSEBsFQ/edit?usp=sharing"",""จัดที่ดิน!BF75"")"),0)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IFERROR(__xludf.DUMMYFUNCTION("IMPORTRANGE(""https://docs.google.com/spreadsheets/d/1tdoBKaGub7dwA3U6UFTqxio9LNnvDCQjHKmttSEBsFQ/edit?usp=sharing"",""จัดที่ดิน!BG75"")"),0)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IFERROR(__xludf.DUMMYFUNCTION("IMPORTRANGE(""https://docs.google.com/spreadsheets/d/1eHaY18a8A9IcSdp1K8H6x8fbOy06t2VsZHhMHf-1x7Y/edit?usp=sharing"",""แผน!IP75"")"),0)</f>
        <v>0</v>
      </c>
      <c r="J679" s="152">
        <f ca="1">IFERROR(__xludf.DUMMYFUNCTION("IMPORTRANGE(""https://docs.google.com/spreadsheets/d/1tdoBKaGub7dwA3U6UFTqxio9LNnvDCQjHKmttSEBsFQ/edit?usp=sharing"",""จัดที่ดิน!BH75"")"),0)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IFERROR(__xludf.DUMMYFUNCTION("IMPORTRANGE(""https://docs.google.com/spreadsheets/d/1eHaY18a8A9IcSdp1K8H6x8fbOy06t2VsZHhMHf-1x7Y/edit?usp=sharing"",""แผน!IQ75"")"),0)</f>
        <v>0</v>
      </c>
      <c r="J680" s="152">
        <f ca="1">IFERROR(__xludf.DUMMYFUNCTION("IMPORTRANGE(""https://docs.google.com/spreadsheets/d/1tdoBKaGub7dwA3U6UFTqxio9LNnvDCQjHKmttSEBsFQ/edit?usp=sharing"",""จัดที่ดิน!BK75"")"),0)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IFERROR(__xludf.DUMMYFUNCTION("IMPORTRANGE(""https://docs.google.com/spreadsheets/d/1tdoBKaGub7dwA3U6UFTqxio9LNnvDCQjHKmttSEBsFQ/edit?usp=sharing"",""จัดที่ดิน!BL75"")"),0)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IFERROR(__xludf.DUMMYFUNCTION("IMPORTRANGE(""https://docs.google.com/spreadsheets/d/1eHaY18a8A9IcSdp1K8H6x8fbOy06t2VsZHhMHf-1x7Y/edit?usp=sharing"",""แผน!IR75"")"),0)</f>
        <v>0</v>
      </c>
      <c r="J682" s="152">
        <f ca="1">IFERROR(__xludf.DUMMYFUNCTION("IMPORTRANGE(""https://docs.google.com/spreadsheets/d/1tdoBKaGub7dwA3U6UFTqxio9LNnvDCQjHKmttSEBsFQ/edit?usp=sharing"",""จัดที่ดิน!BM75"")"),0)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IFERROR(__xludf.DUMMYFUNCTION("IMPORTRANGE(""https://docs.google.com/spreadsheets/d/1eHaY18a8A9IcSdp1K8H6x8fbOy06t2VsZHhMHf-1x7Y/edit?usp=sharing"",""แผน!IS75"")"),0)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0">I708</f>
        <v>0</v>
      </c>
      <c r="J690" s="753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79150</v>
      </c>
      <c r="R691" s="132">
        <f t="shared" ca="1" si="414"/>
        <v>79150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79150</v>
      </c>
      <c r="R693" s="46">
        <f t="shared" ca="1" si="418"/>
        <v>79150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79150</v>
      </c>
      <c r="R694" s="46">
        <f t="shared" ca="1" si="420"/>
        <v>79150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6" s="46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6" s="46">
        <f ca="1">IFERROR(__xludf.DUMMYFUNCTION("IMPORTRANGE(""https://docs.google.com/spreadsheets/d/1ItG2mGa2ceCfYo0BwxsXqNm01IGEUdYcSSLTEv9YCik/edit?usp=sharing"",""เบิกจ่ายกองทุน!N75"")"),0)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IFERROR(__xludf.DUMMYFUNCTION("IMPORTRANGE(""https://docs.google.com/spreadsheets/d/1eHaY18a8A9IcSdp1K8H6x8fbOy06t2VsZHhMHf-1x7Y/edit?usp=sharing"",""แผน!LC75"")"),0)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5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IFERROR(__xludf.DUMMYFUNCTION("IMPORTRANGE(""https://docs.google.com/spreadsheets/d/1eHaY18a8A9IcSdp1K8H6x8fbOy06t2VsZHhMHf-1x7Y/edit?usp=sharing"",""แผน!LJ75"")"),0)</f>
        <v>0</v>
      </c>
      <c r="J704" s="152">
        <f ca="1">IFERROR(__xludf.DUMMYFUNCTION("IMPORTRANGE(""https://docs.google.com/spreadsheets/d/1tdoBKaGub7dwA3U6UFTqxio9LNnvDCQjHKmttSEBsFQ/edit?usp=sharing"",""จัดที่ดิน!AP75"")"),0)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IFERROR(__xludf.DUMMYFUNCTION("IMPORTRANGE(""https://docs.google.com/spreadsheets/d/1tdoBKaGub7dwA3U6UFTqxio9LNnvDCQjHKmttSEBsFQ/edit?usp=sharing"",""จัดที่ดิน!AQ75"")"),0)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IFERROR(__xludf.DUMMYFUNCTION("IMPORTRANGE(""https://docs.google.com/spreadsheets/d/1eHaY18a8A9IcSdp1K8H6x8fbOy06t2VsZHhMHf-1x7Y/edit?usp=sharing"",""แผน!LK75"")"),5)</f>
        <v>5</v>
      </c>
      <c r="J706" s="152">
        <f ca="1">IFERROR(__xludf.DUMMYFUNCTION("IMPORTRANGE(""https://docs.google.com/spreadsheets/d/1tdoBKaGub7dwA3U6UFTqxio9LNnvDCQjHKmttSEBsFQ/edit?usp=sharing"",""จัดที่ดิน!AR75"")"),0)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IFERROR(__xludf.DUMMYFUNCTION("IMPORTRANGE(""https://docs.google.com/spreadsheets/d/1tdoBKaGub7dwA3U6UFTqxio9LNnvDCQjHKmttSEBsFQ/edit?usp=sharing"",""จัดที่ดิน!AS75"")"),0)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IFERROR(__xludf.DUMMYFUNCTION("IMPORTRANGE(""https://docs.google.com/spreadsheets/d/1eHaY18a8A9IcSdp1K8H6x8fbOy06t2VsZHhMHf-1x7Y/edit?usp=sharing"",""แผน!LJ75"")"),0)</f>
        <v>0</v>
      </c>
      <c r="J708" s="152">
        <f ca="1">IFERROR(__xludf.DUMMYFUNCTION("IMPORTRANGE(""https://docs.google.com/spreadsheets/d/1tdoBKaGub7dwA3U6UFTqxio9LNnvDCQjHKmttSEBsFQ/edit?usp=sharing"",""จัดที่ดิน!BN75"")"),0)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IFERROR(__xludf.DUMMYFUNCTION("IMPORTRANGE(""https://docs.google.com/spreadsheets/d/1tdoBKaGub7dwA3U6UFTqxio9LNnvDCQjHKmttSEBsFQ/edit?usp=sharing"",""จัดที่ดิน!BO75"")"),0)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IFERROR(__xludf.DUMMYFUNCTION("IMPORTRANGE(""https://docs.google.com/spreadsheets/d/1eHaY18a8A9IcSdp1K8H6x8fbOy06t2VsZHhMHf-1x7Y/edit?usp=sharing"",""แผน!LK75"")"),5)</f>
        <v>5</v>
      </c>
      <c r="J710" s="152">
        <f ca="1">IFERROR(__xludf.DUMMYFUNCTION("IMPORTRANGE(""https://docs.google.com/spreadsheets/d/1tdoBKaGub7dwA3U6UFTqxio9LNnvDCQjHKmttSEBsFQ/edit?usp=sharing"",""จัดที่ดิน!BP75"")"),0)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IFERROR(__xludf.DUMMYFUNCTION("IMPORTRANGE(""https://docs.google.com/spreadsheets/d/1tdoBKaGub7dwA3U6UFTqxio9LNnvDCQjHKmttSEBsFQ/edit?usp=sharing"",""จัดที่ดิน!BQ75"")"),0)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IFERROR(__xludf.DUMMYFUNCTION("IMPORTRANGE(""https://docs.google.com/spreadsheets/d/1eHaY18a8A9IcSdp1K8H6x8fbOy06t2VsZHhMHf-1x7Y/edit?usp=sharing"",""แผน!GA75"")"),16)</f>
        <v>16</v>
      </c>
      <c r="J727" s="448">
        <f>J743+J747+J750</f>
        <v>0</v>
      </c>
      <c r="K727" s="449">
        <f t="shared" ref="K727:K728" ca="1" si="437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IFERROR(__xludf.DUMMYFUNCTION("IMPORTRANGE(""https://docs.google.com/spreadsheets/d/1eHaY18a8A9IcSdp1K8H6x8fbOy06t2VsZHhMHf-1x7Y/edit?usp=sharing"",""แผน!FZ75"")"),150)</f>
        <v>150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143438</v>
      </c>
      <c r="R729" s="132">
        <f t="shared" ca="1" si="441"/>
        <v>175838</v>
      </c>
      <c r="S729" s="132">
        <f t="shared" ca="1" si="441"/>
        <v>39275</v>
      </c>
      <c r="T729" s="132">
        <f t="shared" ref="T729:T737" ca="1" si="442">IF(Q729&gt;0,S729*100/Q729,0)</f>
        <v>27.381168170219887</v>
      </c>
      <c r="U729" s="132">
        <f t="shared" ref="U729:U737" ca="1" si="443">IF(R729&gt;0,S729*100/R729,0)</f>
        <v>22.335900089855436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143438</v>
      </c>
      <c r="R731" s="46">
        <f t="shared" ca="1" si="445"/>
        <v>175838</v>
      </c>
      <c r="S731" s="46">
        <f t="shared" ca="1" si="445"/>
        <v>39275</v>
      </c>
      <c r="T731" s="46">
        <f t="shared" ca="1" si="442"/>
        <v>27.381168170219887</v>
      </c>
      <c r="U731" s="46">
        <f t="shared" ca="1" si="443"/>
        <v>22.335900089855436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143438</v>
      </c>
      <c r="R732" s="46">
        <f t="shared" ca="1" si="447"/>
        <v>175838</v>
      </c>
      <c r="S732" s="46">
        <f t="shared" ca="1" si="447"/>
        <v>39275</v>
      </c>
      <c r="T732" s="46">
        <f t="shared" ca="1" si="442"/>
        <v>27.381168170219887</v>
      </c>
      <c r="U732" s="46">
        <f t="shared" ca="1" si="443"/>
        <v>22.335900089855436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4" s="46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4" s="46">
        <f ca="1">IFERROR(__xludf.DUMMYFUNCTION("IMPORTRANGE(""https://docs.google.com/spreadsheets/d/1ItG2mGa2ceCfYo0BwxsXqNm01IGEUdYcSSLTEv9YCik/edit?usp=sharing"",""เบิกจ่ายกองทุน!Q75"")"),39275)</f>
        <v>39275</v>
      </c>
      <c r="T734" s="46">
        <f t="shared" ca="1" si="442"/>
        <v>27.381168170219887</v>
      </c>
      <c r="U734" s="46">
        <f t="shared" ca="1" si="443"/>
        <v>22.335900089855436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IFERROR(__xludf.DUMMYFUNCTION("IMPORTRANGE(""https://docs.google.com/spreadsheets/d/1eHaY18a8A9IcSdp1K8H6x8fbOy06t2VsZHhMHf-1x7Y/edit?usp=sharing"",""แผน!GB75"")"),120)</f>
        <v>120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IFERROR(__xludf.DUMMYFUNCTION("IMPORTRANGE(""https://docs.google.com/spreadsheets/d/1eHaY18a8A9IcSdp1K8H6x8fbOy06t2VsZHhMHf-1x7Y/edit?usp=sharing"",""แผน!GC75"")"),12)</f>
        <v>12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IFERROR(__xludf.DUMMYFUNCTION("IMPORTRANGE(""https://docs.google.com/spreadsheets/d/1eHaY18a8A9IcSdp1K8H6x8fbOy06t2VsZHhMHf-1x7Y/edit?usp=sharing"",""แผน!GD75"")"),30)</f>
        <v>30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IFERROR(__xludf.DUMMYFUNCTION("IMPORTRANGE(""https://docs.google.com/spreadsheets/d/1eHaY18a8A9IcSdp1K8H6x8fbOy06t2VsZHhMHf-1x7Y/edit?usp=sharing"",""แผน!GE75"")"),3)</f>
        <v>3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IFERROR(__xludf.DUMMYFUNCTION("IMPORTRANGE(""https://docs.google.com/spreadsheets/d/1eHaY18a8A9IcSdp1K8H6x8fbOy06t2VsZHhMHf-1x7Y/edit?usp=sharing"",""แผน!GF75"")"),1)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IFERROR(__xludf.DUMMYFUNCTION("IMPORTRANGE(""https://docs.google.com/spreadsheets/d/1eHaY18a8A9IcSdp1K8H6x8fbOy06t2VsZHhMHf-1x7Y/edit?usp=sharing"",""แผน!GB75"")"),120)</f>
        <v>120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IFERROR(__xludf.DUMMYFUNCTION("IMPORTRANGE(""https://docs.google.com/spreadsheets/d/1eHaY18a8A9IcSdp1K8H6x8fbOy06t2VsZHhMHf-1x7Y/edit?usp=sharing"",""แผน!GD75"")"),30)</f>
        <v>30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15</v>
      </c>
      <c r="J759" s="448">
        <f t="shared" si="450"/>
        <v>0</v>
      </c>
      <c r="K759" s="449">
        <f t="shared" ref="K759:K760" ca="1" si="451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45</v>
      </c>
      <c r="J760" s="448">
        <f t="shared" si="452"/>
        <v>0</v>
      </c>
      <c r="K760" s="449">
        <f t="shared" ca="1" si="451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134510</v>
      </c>
      <c r="R761" s="132">
        <f t="shared" ca="1" si="456"/>
        <v>134510</v>
      </c>
      <c r="S761" s="132">
        <f t="shared" ca="1" si="456"/>
        <v>0</v>
      </c>
      <c r="T761" s="132">
        <f t="shared" ref="T761:T769" ca="1" si="457">IF(Q761&gt;0,S761*100/Q761,0)</f>
        <v>0</v>
      </c>
      <c r="U761" s="132">
        <f t="shared" ref="U761:U769" ca="1" si="458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134510</v>
      </c>
      <c r="R763" s="46">
        <f t="shared" ca="1" si="460"/>
        <v>134510</v>
      </c>
      <c r="S763" s="46">
        <f t="shared" ca="1" si="460"/>
        <v>0</v>
      </c>
      <c r="T763" s="46">
        <f t="shared" ca="1" si="457"/>
        <v>0</v>
      </c>
      <c r="U763" s="46">
        <f t="shared" ca="1" si="458"/>
        <v>0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134510</v>
      </c>
      <c r="R764" s="46">
        <f t="shared" ca="1" si="462"/>
        <v>134510</v>
      </c>
      <c r="S764" s="46">
        <f t="shared" ca="1" si="462"/>
        <v>0</v>
      </c>
      <c r="T764" s="46">
        <f t="shared" ca="1" si="457"/>
        <v>0</v>
      </c>
      <c r="U764" s="46">
        <f t="shared" ca="1" si="458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IFERROR(__xludf.DUMMYFUNCTION("IMPORTRANGE(""https://docs.google.com/spreadsheets/d/1ItG2mGa2ceCfYo0BwxsXqNm01IGEUdYcSSLTEv9YCik/edit?usp=sharing"",""เบิกจ่ายกองทุน!U75"")"),134510)</f>
        <v>134510</v>
      </c>
      <c r="R766" s="46">
        <f ca="1">IFERROR(__xludf.DUMMYFUNCTION("IMPORTRANGE(""https://docs.google.com/spreadsheets/d/1ItG2mGa2ceCfYo0BwxsXqNm01IGEUdYcSSLTEv9YCik/edit?usp=sharing"",""เบิกจ่ายกองทุน!V75"")"),134510)</f>
        <v>134510</v>
      </c>
      <c r="S766" s="46">
        <f ca="1">IFERROR(__xludf.DUMMYFUNCTION("IMPORTRANGE(""https://docs.google.com/spreadsheets/d/1ItG2mGa2ceCfYo0BwxsXqNm01IGEUdYcSSLTEv9YCik/edit?usp=sharing"",""เบิกจ่ายกองทุน!W75"")"),0)</f>
        <v>0</v>
      </c>
      <c r="T766" s="46">
        <f t="shared" ca="1" si="457"/>
        <v>0</v>
      </c>
      <c r="U766" s="46">
        <f t="shared" ca="1" si="458"/>
        <v>0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IFERROR(__xludf.DUMMYFUNCTION("IMPORTRANGE(""https://docs.google.com/spreadsheets/d/1eHaY18a8A9IcSdp1K8H6x8fbOy06t2VsZHhMHf-1x7Y/edit?usp=sharing"",""แผน!FI75"")"),0)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IFERROR(__xludf.DUMMYFUNCTION("IMPORTRANGE(""https://docs.google.com/spreadsheets/d/1eHaY18a8A9IcSdp1K8H6x8fbOy06t2VsZHhMHf-1x7Y/edit?usp=sharing"",""แผน!FQ75"")"),15)</f>
        <v>15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IFERROR(__xludf.DUMMYFUNCTION("IMPORTRANGE(""https://docs.google.com/spreadsheets/d/1eHaY18a8A9IcSdp1K8H6x8fbOy06t2VsZHhMHf-1x7Y/edit?usp=sharing"",""แผน!FR75"")"),45)</f>
        <v>45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IFERROR(__xludf.DUMMYFUNCTION("IMPORTRANGE(""https://docs.google.com/spreadsheets/d/1eHaY18a8A9IcSdp1K8H6x8fbOy06t2VsZHhMHf-1x7Y/edit?usp=sharing"",""แผน!FS75"")"),45)</f>
        <v>45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IFERROR(__xludf.DUMMYFUNCTION("IMPORTRANGE(""https://docs.google.com/spreadsheets/d/1eHaY18a8A9IcSdp1K8H6x8fbOy06t2VsZHhMHf-1x7Y/edit?usp=sharing"",""แผน!FT75"")"),15)</f>
        <v>15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9" s="152">
        <f ca="1">IFERROR(__xludf.DUMMYFUNCTION("IMPORTRANGE(""https://docs.google.com/spreadsheets/d/10OvvATaaLtwErnr3qtWFcTmtbfpFEt5Bsqel9sXx0uE/edit?usp=sharing"",""งานกองทุน!F75"")"),161106.36)</f>
        <v>161106.35999999999</v>
      </c>
      <c r="K779" s="46">
        <f t="shared" ref="K779:K786" ca="1" si="465">IF(I779&gt;0,J779*100/I779,0)</f>
        <v>81.105414602214267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IFERROR(__xludf.DUMMYFUNCTION("IMPORTRANGE(""https://docs.google.com/spreadsheets/d/10OvvATaaLtwErnr3qtWFcTmtbfpFEt5Bsqel9sXx0uE/edit?usp=sharing"",""งานกองทุน!C75"")"),18)</f>
        <v>18</v>
      </c>
      <c r="J780" s="152">
        <f ca="1">IFERROR(__xludf.DUMMYFUNCTION("IMPORTRANGE(""https://docs.google.com/spreadsheets/d/10OvvATaaLtwErnr3qtWFcTmtbfpFEt5Bsqel9sXx0uE/edit?usp=sharing"",""งานกองทุน!E75"")"),17)</f>
        <v>17</v>
      </c>
      <c r="K780" s="46">
        <f t="shared" ca="1" si="465"/>
        <v>94.444444444444443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1" s="152">
        <f ca="1">IFERROR(__xludf.DUMMYFUNCTION("IMPORTRANGE(""https://docs.google.com/spreadsheets/d/10OvvATaaLtwErnr3qtWFcTmtbfpFEt5Bsqel9sXx0uE/edit?usp=sharing"",""งานกองทุน!K75"")"),415692.77)</f>
        <v>415692.77</v>
      </c>
      <c r="K781" s="46">
        <f t="shared" ca="1" si="465"/>
        <v>15.302720801873276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IFERROR(__xludf.DUMMYFUNCTION("IMPORTRANGE(""https://docs.google.com/spreadsheets/d/10OvvATaaLtwErnr3qtWFcTmtbfpFEt5Bsqel9sXx0uE/edit?usp=sharing"",""งานกองทุน!H75"")"),90)</f>
        <v>90</v>
      </c>
      <c r="J782" s="152">
        <f ca="1">IFERROR(__xludf.DUMMYFUNCTION("IMPORTRANGE(""https://docs.google.com/spreadsheets/d/10OvvATaaLtwErnr3qtWFcTmtbfpFEt5Bsqel9sXx0uE/edit?usp=sharing"",""งานกองทุน!J75"")"),58)</f>
        <v>58</v>
      </c>
      <c r="K782" s="46">
        <f t="shared" ca="1" si="465"/>
        <v>64.444444444444443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IFERROR(__xludf.DUMMYFUNCTION("IMPORTRANGE(""https://docs.google.com/spreadsheets/d/10OvvATaaLtwErnr3qtWFcTmtbfpFEt5Bsqel9sXx0uE/edit?usp=sharing"",""งานกองทุน!N75"")"),0)</f>
        <v>0</v>
      </c>
      <c r="J783" s="152">
        <f ca="1">IFERROR(__xludf.DUMMYFUNCTION("IMPORTRANGE(""https://docs.google.com/spreadsheets/d/10OvvATaaLtwErnr3qtWFcTmtbfpFEt5Bsqel9sXx0uE/edit?usp=sharing"",""งานกองทุน!P75"")"),10231.17)</f>
        <v>10231.17</v>
      </c>
      <c r="K783" s="46">
        <f t="shared" ca="1" si="465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IFERROR(__xludf.DUMMYFUNCTION("IMPORTRANGE(""https://docs.google.com/spreadsheets/d/10OvvATaaLtwErnr3qtWFcTmtbfpFEt5Bsqel9sXx0uE/edit?usp=sharing"",""งานกองทุน!M75"")"),0)</f>
        <v>0</v>
      </c>
      <c r="J784" s="152">
        <f ca="1">IFERROR(__xludf.DUMMYFUNCTION("IMPORTRANGE(""https://docs.google.com/spreadsheets/d/10OvvATaaLtwErnr3qtWFcTmtbfpFEt5Bsqel9sXx0uE/edit?usp=sharing"",""งานกองทุน!O75"")"),6)</f>
        <v>6</v>
      </c>
      <c r="K784" s="46">
        <f t="shared" ca="1" si="465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IFERROR(__xludf.DUMMYFUNCTION("IMPORTRANGE(""https://docs.google.com/spreadsheets/d/10OvvATaaLtwErnr3qtWFcTmtbfpFEt5Bsqel9sXx0uE/edit?usp=sharing"",""งานกองทุน!S75"")"),1120000)</f>
        <v>1120000</v>
      </c>
      <c r="J785" s="152">
        <f ca="1">IFERROR(__xludf.DUMMYFUNCTION("IMPORTRANGE(""https://docs.google.com/spreadsheets/d/10OvvATaaLtwErnr3qtWFcTmtbfpFEt5Bsqel9sXx0uE/edit?usp=sharing"",""งานกองทุน!U75"")"),400000)</f>
        <v>400000</v>
      </c>
      <c r="K785" s="46">
        <f t="shared" ca="1" si="465"/>
        <v>35.714285714285715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IFERROR(__xludf.DUMMYFUNCTION("IMPORTRANGE(""https://docs.google.com/spreadsheets/d/10OvvATaaLtwErnr3qtWFcTmtbfpFEt5Bsqel9sXx0uE/edit?usp=sharing"",""งานกองทุน!R75"")"),40)</f>
        <v>40</v>
      </c>
      <c r="J786" s="204">
        <f ca="1">IFERROR(__xludf.DUMMYFUNCTION("IMPORTRANGE(""https://docs.google.com/spreadsheets/d/10OvvATaaLtwErnr3qtWFcTmtbfpFEt5Bsqel9sXx0uE/edit?usp=sharing"",""งานกองทุน!T75"")"),8)</f>
        <v>8</v>
      </c>
      <c r="K786" s="110">
        <f t="shared" ca="1" si="465"/>
        <v>20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4E8A8-AB07-4D69-9E9B-7DACEFDE7FDB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312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1749580</v>
      </c>
      <c r="M19" s="34">
        <f t="shared" ca="1" si="0"/>
        <v>1831402</v>
      </c>
      <c r="N19" s="34">
        <f t="shared" ca="1" si="0"/>
        <v>1324087.3799999999</v>
      </c>
      <c r="O19" s="34">
        <f t="shared" ref="O19:O27" ca="1" si="1">IF(L19&gt;0,N19*100/L19,0)</f>
        <v>75.680299271825234</v>
      </c>
      <c r="P19" s="34">
        <f t="shared" ref="P19:P27" ca="1" si="2">IF(M19&gt;0,N19*100/M19,0)</f>
        <v>72.299111827987517</v>
      </c>
      <c r="Q19" s="34">
        <f t="shared" ref="Q19:S19" ca="1" si="3">Q20+Q21</f>
        <v>2588767.39</v>
      </c>
      <c r="R19" s="34">
        <f t="shared" ca="1" si="3"/>
        <v>2488267</v>
      </c>
      <c r="S19" s="34">
        <f t="shared" ca="1" si="3"/>
        <v>122597</v>
      </c>
      <c r="T19" s="34">
        <f t="shared" ref="T19:T27" ca="1" si="4">IF(Q19&gt;0,S19*100/Q19,0)</f>
        <v>4.7357286897839046</v>
      </c>
      <c r="U19" s="34">
        <f t="shared" ref="U19:U27" ca="1" si="5">IF(R19&gt;0,S19*100/R19,0)</f>
        <v>4.9270034124151465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1749580</v>
      </c>
      <c r="M21" s="38">
        <f t="shared" ca="1" si="6"/>
        <v>1831402</v>
      </c>
      <c r="N21" s="38">
        <f t="shared" ca="1" si="6"/>
        <v>1324087.3799999999</v>
      </c>
      <c r="O21" s="38">
        <f t="shared" ca="1" si="1"/>
        <v>75.680299271825234</v>
      </c>
      <c r="P21" s="38">
        <f t="shared" ca="1" si="2"/>
        <v>72.299111827987517</v>
      </c>
      <c r="Q21" s="38">
        <f t="shared" ca="1" si="7"/>
        <v>2588767.39</v>
      </c>
      <c r="R21" s="38">
        <f t="shared" ca="1" si="7"/>
        <v>2488267</v>
      </c>
      <c r="S21" s="38">
        <f t="shared" ca="1" si="7"/>
        <v>122597</v>
      </c>
      <c r="T21" s="38">
        <f t="shared" ca="1" si="4"/>
        <v>4.7357286897839046</v>
      </c>
      <c r="U21" s="38">
        <f t="shared" ca="1" si="5"/>
        <v>4.9270034124151465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1749580</v>
      </c>
      <c r="M22" s="46">
        <f t="shared" ca="1" si="8"/>
        <v>1831402</v>
      </c>
      <c r="N22" s="46">
        <f t="shared" ca="1" si="8"/>
        <v>1324087.3799999999</v>
      </c>
      <c r="O22" s="46">
        <f t="shared" ca="1" si="1"/>
        <v>75.680299271825234</v>
      </c>
      <c r="P22" s="46">
        <f t="shared" ca="1" si="2"/>
        <v>72.299111827987517</v>
      </c>
      <c r="Q22" s="46">
        <f t="shared" ref="Q22:S22" ca="1" si="9">Q23+Q24</f>
        <v>2588767.39</v>
      </c>
      <c r="R22" s="46">
        <f t="shared" ca="1" si="9"/>
        <v>2488267</v>
      </c>
      <c r="S22" s="46">
        <f t="shared" ca="1" si="9"/>
        <v>122597</v>
      </c>
      <c r="T22" s="46">
        <f t="shared" ca="1" si="4"/>
        <v>4.7357286897839046</v>
      </c>
      <c r="U22" s="46">
        <f t="shared" ca="1" si="5"/>
        <v>4.9270034124151465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1749580</v>
      </c>
      <c r="M24" s="46">
        <f t="shared" ca="1" si="10"/>
        <v>1831402</v>
      </c>
      <c r="N24" s="46">
        <f t="shared" ca="1" si="10"/>
        <v>1324087.3799999999</v>
      </c>
      <c r="O24" s="46">
        <f t="shared" ca="1" si="1"/>
        <v>75.680299271825234</v>
      </c>
      <c r="P24" s="46">
        <f t="shared" ca="1" si="2"/>
        <v>72.299111827987517</v>
      </c>
      <c r="Q24" s="46">
        <f t="shared" ca="1" si="11"/>
        <v>2588767.39</v>
      </c>
      <c r="R24" s="46">
        <f t="shared" ca="1" si="11"/>
        <v>2488267</v>
      </c>
      <c r="S24" s="46">
        <f t="shared" ca="1" si="11"/>
        <v>122597</v>
      </c>
      <c r="T24" s="46">
        <f t="shared" ca="1" si="4"/>
        <v>4.7357286897839046</v>
      </c>
      <c r="U24" s="46">
        <f t="shared" ca="1" si="5"/>
        <v>4.9270034124151465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1749580</v>
      </c>
      <c r="M41" s="525">
        <f t="shared" ca="1" si="16"/>
        <v>1831402</v>
      </c>
      <c r="N41" s="525">
        <f t="shared" ca="1" si="16"/>
        <v>1324087.3799999999</v>
      </c>
      <c r="O41" s="525">
        <f ca="1">IF(L41&gt;0,N41*100/L41,0)</f>
        <v>75.680299271825234</v>
      </c>
      <c r="P41" s="525">
        <f ca="1">IF(M41&gt;0,N41*100/M41,0)</f>
        <v>72.299111827987517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402550</v>
      </c>
      <c r="M45" s="78">
        <f t="shared" ca="1" si="17"/>
        <v>414012</v>
      </c>
      <c r="N45" s="78">
        <f t="shared" ca="1" si="17"/>
        <v>368426</v>
      </c>
      <c r="O45" s="78">
        <f t="shared" ref="O45:O53" ca="1" si="18">IF(L45&gt;0,N45*100/L45,0)</f>
        <v>91.523040616072535</v>
      </c>
      <c r="P45" s="78">
        <f t="shared" ref="P45:P53" ca="1" si="19">IF(M45&gt;0,N45*100/M45,0)</f>
        <v>88.989208042278975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402550</v>
      </c>
      <c r="M47" s="82">
        <f t="shared" ca="1" si="23"/>
        <v>414012</v>
      </c>
      <c r="N47" s="82">
        <f t="shared" ca="1" si="23"/>
        <v>368426</v>
      </c>
      <c r="O47" s="82">
        <f t="shared" ca="1" si="18"/>
        <v>91.523040616072535</v>
      </c>
      <c r="P47" s="82">
        <f t="shared" ca="1" si="19"/>
        <v>88.989208042278975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402550</v>
      </c>
      <c r="M48" s="46">
        <f t="shared" ca="1" si="25"/>
        <v>414012</v>
      </c>
      <c r="N48" s="46">
        <f t="shared" ca="1" si="25"/>
        <v>368426</v>
      </c>
      <c r="O48" s="46">
        <f t="shared" ca="1" si="18"/>
        <v>91.523040616072535</v>
      </c>
      <c r="P48" s="46">
        <f t="shared" ca="1" si="19"/>
        <v>88.989208042278975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IFERROR(__xludf.DUMMYFUNCTION("IMPORTRANGE(""https://docs.google.com/spreadsheets/d/1-uDff_7J0KD5mKrp0Vvzr7lt3OU09vwQwhkpOPPYv2Y/edit?usp=sharing"",""งบพรบ!P76"")"),402550)</f>
        <v>402550</v>
      </c>
      <c r="M50" s="46">
        <f ca="1">IFERROR(__xludf.DUMMYFUNCTION("IMPORTRANGE(""https://docs.google.com/spreadsheets/d/1-uDff_7J0KD5mKrp0Vvzr7lt3OU09vwQwhkpOPPYv2Y/edit?usp=sharing"",""งบพรบ!V76"")"),414012)</f>
        <v>414012</v>
      </c>
      <c r="N50" s="46">
        <f ca="1">IFERROR(__xludf.DUMMYFUNCTION("IMPORTRANGE(""https://docs.google.com/spreadsheets/d/1-uDff_7J0KD5mKrp0Vvzr7lt3OU09vwQwhkpOPPYv2Y/edit?usp=sharing"",""งบพรบ!Y76"")"),368426)</f>
        <v>368426</v>
      </c>
      <c r="O50" s="46">
        <f t="shared" ca="1" si="18"/>
        <v>91.523040616072535</v>
      </c>
      <c r="P50" s="46">
        <f t="shared" ca="1" si="19"/>
        <v>88.989208042278975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IFERROR(__xludf.DUMMYFUNCTION("IMPORTRANGE(""https://docs.google.com/spreadsheets/d/1-uDff_7J0KD5mKrp0Vvzr7lt3OU09vwQwhkpOPPYv2Y/edit?usp=sharing"",""งบพรบ!S76"")"),0)</f>
        <v>0</v>
      </c>
      <c r="M53" s="46">
        <f ca="1">IFERROR(__xludf.DUMMYFUNCTION("IMPORTRANGE(""https://docs.google.com/spreadsheets/d/1-uDff_7J0KD5mKrp0Vvzr7lt3OU09vwQwhkpOPPYv2Y/edit?usp=sharing"",""งบพรบ!W76"")"),0)</f>
        <v>0</v>
      </c>
      <c r="N53" s="46">
        <f ca="1">IFERROR(__xludf.DUMMYFUNCTION("IMPORTRANGE(""https://docs.google.com/spreadsheets/d/1-uDff_7J0KD5mKrp0Vvzr7lt3OU09vwQwhkpOPPYv2Y/edit?usp=sharing"",""งบพรบ!Z76"")"),0)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465900</v>
      </c>
      <c r="M60" s="105">
        <f t="shared" ca="1" si="29"/>
        <v>525440</v>
      </c>
      <c r="N60" s="105">
        <f t="shared" ca="1" si="29"/>
        <v>473445</v>
      </c>
      <c r="O60" s="105">
        <f t="shared" ref="O60:O68" ca="1" si="30">IF(L60&gt;0,N60*100/L60,0)</f>
        <v>101.61944623309724</v>
      </c>
      <c r="P60" s="105">
        <f t="shared" ref="P60:P68" ca="1" si="31">IF(M60&gt;0,N60*100/M60,0)</f>
        <v>90.104483861144942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465900</v>
      </c>
      <c r="M62" s="108">
        <f t="shared" ca="1" si="35"/>
        <v>525440</v>
      </c>
      <c r="N62" s="108">
        <f t="shared" ca="1" si="35"/>
        <v>473445</v>
      </c>
      <c r="O62" s="108">
        <f t="shared" ca="1" si="30"/>
        <v>101.61944623309724</v>
      </c>
      <c r="P62" s="108">
        <f t="shared" ca="1" si="31"/>
        <v>90.104483861144942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465900</v>
      </c>
      <c r="M63" s="46">
        <f t="shared" ca="1" si="37"/>
        <v>525440</v>
      </c>
      <c r="N63" s="46">
        <f t="shared" ca="1" si="37"/>
        <v>473445</v>
      </c>
      <c r="O63" s="46">
        <f t="shared" ca="1" si="30"/>
        <v>101.61944623309724</v>
      </c>
      <c r="P63" s="46">
        <f t="shared" ca="1" si="31"/>
        <v>90.104483861144942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IFERROR(__xludf.DUMMYFUNCTION("IMPORTRANGE(""https://docs.google.com/spreadsheets/d/1-uDff_7J0KD5mKrp0Vvzr7lt3OU09vwQwhkpOPPYv2Y/edit?usp=sharing"",""งบพรบ!AC76"")"),465900)</f>
        <v>465900</v>
      </c>
      <c r="M65" s="46">
        <f ca="1">IFERROR(__xludf.DUMMYFUNCTION("IMPORTRANGE(""https://docs.google.com/spreadsheets/d/1-uDff_7J0KD5mKrp0Vvzr7lt3OU09vwQwhkpOPPYv2Y/edit?usp=sharing"",""งบพรบ!AH76"")"),525440)</f>
        <v>525440</v>
      </c>
      <c r="N65" s="46">
        <f ca="1">IFERROR(__xludf.DUMMYFUNCTION("IMPORTRANGE(""https://docs.google.com/spreadsheets/d/1-uDff_7J0KD5mKrp0Vvzr7lt3OU09vwQwhkpOPPYv2Y/edit?usp=sharing"",""งบพรบ!AJ76"")"),473445)</f>
        <v>473445</v>
      </c>
      <c r="O65" s="46">
        <f t="shared" ca="1" si="30"/>
        <v>101.61944623309724</v>
      </c>
      <c r="P65" s="46">
        <f t="shared" ca="1" si="31"/>
        <v>90.104483861144942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IFERROR(__xludf.DUMMYFUNCTION("IMPORTRANGE(""https://docs.google.com/spreadsheets/d/1-uDff_7J0KD5mKrp0Vvzr7lt3OU09vwQwhkpOPPYv2Y/edit?usp=sharing"",""งบพรบ!AF76"")"),0)</f>
        <v>0</v>
      </c>
      <c r="M68" s="110">
        <f ca="1">IFERROR(__xludf.DUMMYFUNCTION("IMPORTRANGE(""https://docs.google.com/spreadsheets/d/1-uDff_7J0KD5mKrp0Vvzr7lt3OU09vwQwhkpOPPYv2Y/edit?usp=sharing"",""งบพรบ!AI76"")"),0)</f>
        <v>0</v>
      </c>
      <c r="N68" s="110">
        <f ca="1">IFERROR(__xludf.DUMMYFUNCTION("IMPORTRANGE(""https://docs.google.com/spreadsheets/d/1-uDff_7J0KD5mKrp0Vvzr7lt3OU09vwQwhkpOPPYv2Y/edit?usp=sharing"",""งบพรบ!AK76"")"),0)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1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30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90000</v>
      </c>
      <c r="M73" s="132">
        <f t="shared" ca="1" si="43"/>
        <v>90000</v>
      </c>
      <c r="N73" s="132">
        <f t="shared" ca="1" si="43"/>
        <v>13000</v>
      </c>
      <c r="O73" s="132">
        <f t="shared" ref="O73:O81" ca="1" si="44">IF(L73&gt;0,N73*100/L73,0)</f>
        <v>14.444444444444445</v>
      </c>
      <c r="P73" s="132">
        <f t="shared" ref="P73:P81" ca="1" si="45">IF(M73&gt;0,N73*100/M73,0)</f>
        <v>14.444444444444445</v>
      </c>
      <c r="Q73" s="132">
        <f t="shared" ref="Q73:S73" ca="1" si="46">Q74+Q75</f>
        <v>388700</v>
      </c>
      <c r="R73" s="132">
        <f t="shared" ca="1" si="46"/>
        <v>388700</v>
      </c>
      <c r="S73" s="132">
        <f t="shared" ca="1" si="46"/>
        <v>3200</v>
      </c>
      <c r="T73" s="132">
        <f t="shared" ref="T73:T81" ca="1" si="47">IF(Q73&gt;0,S73*100/Q73,0)</f>
        <v>0.82325701054798039</v>
      </c>
      <c r="U73" s="132">
        <f t="shared" ref="U73:U81" ca="1" si="48">IF(R73&gt;0,S73*100/R73,0)</f>
        <v>0.82325701054798039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90000</v>
      </c>
      <c r="M75" s="46">
        <f t="shared" ca="1" si="49"/>
        <v>90000</v>
      </c>
      <c r="N75" s="46">
        <f t="shared" ca="1" si="49"/>
        <v>13000</v>
      </c>
      <c r="O75" s="46">
        <f t="shared" ca="1" si="44"/>
        <v>14.444444444444445</v>
      </c>
      <c r="P75" s="46">
        <f t="shared" ca="1" si="45"/>
        <v>14.444444444444445</v>
      </c>
      <c r="Q75" s="46">
        <f t="shared" ca="1" si="50"/>
        <v>388700</v>
      </c>
      <c r="R75" s="46">
        <f t="shared" ca="1" si="50"/>
        <v>388700</v>
      </c>
      <c r="S75" s="46">
        <f t="shared" ca="1" si="50"/>
        <v>3200</v>
      </c>
      <c r="T75" s="46">
        <f t="shared" ca="1" si="47"/>
        <v>0.82325701054798039</v>
      </c>
      <c r="U75" s="46">
        <f t="shared" ca="1" si="48"/>
        <v>0.82325701054798039</v>
      </c>
    </row>
    <row r="76" spans="1:21" ht="18.75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90000</v>
      </c>
      <c r="M76" s="46">
        <f t="shared" ca="1" si="51"/>
        <v>90000</v>
      </c>
      <c r="N76" s="46">
        <f t="shared" ca="1" si="51"/>
        <v>13000</v>
      </c>
      <c r="O76" s="46">
        <f t="shared" ca="1" si="44"/>
        <v>14.444444444444445</v>
      </c>
      <c r="P76" s="46">
        <f t="shared" ca="1" si="45"/>
        <v>14.444444444444445</v>
      </c>
      <c r="Q76" s="46">
        <f t="shared" ref="Q76:S76" ca="1" si="52">Q77+Q78</f>
        <v>388700</v>
      </c>
      <c r="R76" s="46">
        <f t="shared" ca="1" si="52"/>
        <v>388700</v>
      </c>
      <c r="S76" s="46">
        <f t="shared" ca="1" si="52"/>
        <v>3200</v>
      </c>
      <c r="T76" s="46">
        <f t="shared" ca="1" si="47"/>
        <v>0.82325701054798039</v>
      </c>
      <c r="U76" s="46">
        <f t="shared" ca="1" si="48"/>
        <v>0.82325701054798039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IFERROR(__xludf.DUMMYFUNCTION("IMPORTRANGE(""https://docs.google.com/spreadsheets/d/1-uDff_7J0KD5mKrp0Vvzr7lt3OU09vwQwhkpOPPYv2Y/edit?usp=sharing"",""งบพรบ!AM76"")"),90000)</f>
        <v>90000</v>
      </c>
      <c r="M78" s="46">
        <f ca="1">IFERROR(__xludf.DUMMYFUNCTION("IMPORTRANGE(""https://docs.google.com/spreadsheets/d/1-uDff_7J0KD5mKrp0Vvzr7lt3OU09vwQwhkpOPPYv2Y/edit?usp=sharing"",""งบพรบ!AR76"")"),90000)</f>
        <v>90000</v>
      </c>
      <c r="N78" s="46">
        <f ca="1">IFERROR(__xludf.DUMMYFUNCTION("IMPORTRANGE(""https://docs.google.com/spreadsheets/d/1-uDff_7J0KD5mKrp0Vvzr7lt3OU09vwQwhkpOPPYv2Y/edit?usp=sharing"",""งบพรบ!AT76"")"),13000)</f>
        <v>13000</v>
      </c>
      <c r="O78" s="46">
        <f t="shared" ca="1" si="44"/>
        <v>14.444444444444445</v>
      </c>
      <c r="P78" s="46">
        <f t="shared" ca="1" si="45"/>
        <v>14.444444444444445</v>
      </c>
      <c r="Q78" s="46">
        <f ca="1">IFERROR(__xludf.DUMMYFUNCTION("IMPORTRANGE(""https://docs.google.com/spreadsheets/d/1ItG2mGa2ceCfYo0BwxsXqNm01IGEUdYcSSLTEv9YCik/edit?usp=sharing"",""เบิกจ่ายกองทุน!AS76"")"),388700)</f>
        <v>388700</v>
      </c>
      <c r="R78" s="46">
        <f ca="1">IFERROR(__xludf.DUMMYFUNCTION("IMPORTRANGE(""https://docs.google.com/spreadsheets/d/1ItG2mGa2ceCfYo0BwxsXqNm01IGEUdYcSSLTEv9YCik/edit?usp=sharing"",""เบิกจ่ายกองทุน!AT76"")"),388700)</f>
        <v>388700</v>
      </c>
      <c r="S78" s="46">
        <f ca="1">IFERROR(__xludf.DUMMYFUNCTION("IMPORTRANGE(""https://docs.google.com/spreadsheets/d/1ItG2mGa2ceCfYo0BwxsXqNm01IGEUdYcSSLTEv9YCik/edit?usp=sharing"",""เบิกจ่ายกองทุน!AU76"")"),3200)</f>
        <v>3200</v>
      </c>
      <c r="T78" s="46">
        <f t="shared" ca="1" si="47"/>
        <v>0.82325701054798039</v>
      </c>
      <c r="U78" s="46">
        <f t="shared" ca="1" si="48"/>
        <v>0.82325701054798039</v>
      </c>
    </row>
    <row r="79" spans="1:21" ht="18.75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IFERROR(__xludf.DUMMYFUNCTION("IMPORTRANGE(""https://docs.google.com/spreadsheets/d/1-uDff_7J0KD5mKrp0Vvzr7lt3OU09vwQwhkpOPPYv2Y/edit?usp=sharing"",""งบพรบ!AP76"")"),0)</f>
        <v>0</v>
      </c>
      <c r="M81" s="46">
        <f ca="1">IFERROR(__xludf.DUMMYFUNCTION("IMPORTRANGE(""https://docs.google.com/spreadsheets/d/1-uDff_7J0KD5mKrp0Vvzr7lt3OU09vwQwhkpOPPYv2Y/edit?usp=sharing"",""งบพรบ!AS76"")"),0)</f>
        <v>0</v>
      </c>
      <c r="N81" s="46">
        <f ca="1">IFERROR(__xludf.DUMMYFUNCTION("IMPORTRANGE(""https://docs.google.com/spreadsheets/d/1-uDff_7J0KD5mKrp0Vvzr7lt3OU09vwQwhkpOPPYv2Y/edit?usp=sharing"",""งบพรบ!AU76"")"),0)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1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30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IFERROR(__xludf.DUMMYFUNCTION("IMPORTRANGE(""https://docs.google.com/spreadsheets/d/1eHaY18a8A9IcSdp1K8H6x8fbOy06t2VsZHhMHf-1x7Y/edit?usp=sharing"",""แผน!H76"")"),0)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IFERROR(__xludf.DUMMYFUNCTION("IMPORTRANGE(""https://docs.google.com/spreadsheets/d/1eHaY18a8A9IcSdp1K8H6x8fbOy06t2VsZHhMHf-1x7Y/edit?usp=sharing"",""แผน!I76"")"),0)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IFERROR(__xludf.DUMMYFUNCTION("IMPORTRANGE(""https://docs.google.com/spreadsheets/d/1eHaY18a8A9IcSdp1K8H6x8fbOy06t2VsZHhMHf-1x7Y/edit?usp=sharing"",""แผน!F76"")"),1)</f>
        <v>1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IFERROR(__xludf.DUMMYFUNCTION("IMPORTRANGE(""https://docs.google.com/spreadsheets/d/1eHaY18a8A9IcSdp1K8H6x8fbOy06t2VsZHhMHf-1x7Y/edit?usp=sharing"",""แผน!G76"")"),30)</f>
        <v>30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IFERROR(__xludf.DUMMYFUNCTION("IMPORTRANGE(""https://docs.google.com/spreadsheets/d/1eHaY18a8A9IcSdp1K8H6x8fbOy06t2VsZHhMHf-1x7Y/edit?usp=sharing"",""แผน!D76"")"),0)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IFERROR(__xludf.DUMMYFUNCTION("IMPORTRANGE(""https://docs.google.com/spreadsheets/d/1eHaY18a8A9IcSdp1K8H6x8fbOy06t2VsZHhMHf-1x7Y/edit?usp=sharing"",""แผน!E76"")"),0)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IFERROR(__xludf.DUMMYFUNCTION("IMPORTRANGE(""https://docs.google.com/spreadsheets/d/1eHaY18a8A9IcSdp1K8H6x8fbOy06t2VsZHhMHf-1x7Y/edit?usp=sharing"",""แผน!J76"")"),1)</f>
        <v>1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30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10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84420</v>
      </c>
      <c r="R95" s="132">
        <f t="shared" ca="1" si="62"/>
        <v>84420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84420</v>
      </c>
      <c r="R97" s="46">
        <f t="shared" ca="1" si="66"/>
        <v>84420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84420</v>
      </c>
      <c r="R98" s="46">
        <f t="shared" ca="1" si="68"/>
        <v>84420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IFERROR(__xludf.DUMMYFUNCTION("IMPORTRANGE(""https://docs.google.com/spreadsheets/d/1-uDff_7J0KD5mKrp0Vvzr7lt3OU09vwQwhkpOPPYv2Y/edit?usp=sharing"",""งบพรบ!AW76"")"),0)</f>
        <v>0</v>
      </c>
      <c r="M100" s="46">
        <f ca="1">IFERROR(__xludf.DUMMYFUNCTION("IMPORTRANGE(""https://docs.google.com/spreadsheets/d/1-uDff_7J0KD5mKrp0Vvzr7lt3OU09vwQwhkpOPPYv2Y/edit?usp=sharing"",""งบพรบ!BB76"")"),0)</f>
        <v>0</v>
      </c>
      <c r="N100" s="46">
        <f ca="1">IFERROR(__xludf.DUMMYFUNCTION("IMPORTRANGE(""https://docs.google.com/spreadsheets/d/1-uDff_7J0KD5mKrp0Vvzr7lt3OU09vwQwhkpOPPYv2Y/edit?usp=sharing"",""งบพรบ!BD76"")"),0)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IFERROR(__xludf.DUMMYFUNCTION("IMPORTRANGE(""https://docs.google.com/spreadsheets/d/1ItG2mGa2ceCfYo0BwxsXqNm01IGEUdYcSSLTEv9YCik/edit?usp=sharing"",""เบิกจ่ายกองทุน!AD76"")"),84420)</f>
        <v>84420</v>
      </c>
      <c r="R100" s="46">
        <f ca="1">IFERROR(__xludf.DUMMYFUNCTION("IMPORTRANGE(""https://docs.google.com/spreadsheets/d/1ItG2mGa2ceCfYo0BwxsXqNm01IGEUdYcSSLTEv9YCik/edit?usp=sharing"",""เบิกจ่ายกองทุน!AE76"")"),84420)</f>
        <v>84420</v>
      </c>
      <c r="S100" s="46">
        <f ca="1">IFERROR(__xludf.DUMMYFUNCTION("IMPORTRANGE(""https://docs.google.com/spreadsheets/d/1ItG2mGa2ceCfYo0BwxsXqNm01IGEUdYcSSLTEv9YCik/edit?usp=sharing"",""เบิกจ่ายกองทุน!AF76"")"),0)</f>
        <v>0</v>
      </c>
      <c r="T100" s="46">
        <f t="shared" ca="1" si="63"/>
        <v>0</v>
      </c>
      <c r="U100" s="46">
        <f t="shared" ca="1" si="64"/>
        <v>0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IFERROR(__xludf.DUMMYFUNCTION("IMPORTRANGE(""https://docs.google.com/spreadsheets/d/1-uDff_7J0KD5mKrp0Vvzr7lt3OU09vwQwhkpOPPYv2Y/edit?usp=sharing"",""งบพรบ!AZ76"")"),0)</f>
        <v>0</v>
      </c>
      <c r="M103" s="46">
        <f ca="1">IFERROR(__xludf.DUMMYFUNCTION("IMPORTRANGE(""https://docs.google.com/spreadsheets/d/1-uDff_7J0KD5mKrp0Vvzr7lt3OU09vwQwhkpOPPYv2Y/edit?usp=sharing"",""งบพรบ!BC76"")"),0)</f>
        <v>0</v>
      </c>
      <c r="N103" s="46">
        <f ca="1">IFERROR(__xludf.DUMMYFUNCTION("IMPORTRANGE(""https://docs.google.com/spreadsheets/d/1-uDff_7J0KD5mKrp0Vvzr7lt3OU09vwQwhkpOPPYv2Y/edit?usp=sharing"",""งบพรบ!BE76"")"),0)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IFERROR(__xludf.DUMMYFUNCTION("IMPORTRANGE(""https://docs.google.com/spreadsheets/d/1eHaY18a8A9IcSdp1K8H6x8fbOy06t2VsZHhMHf-1x7Y/edit?usp=sharing"",""แผน!N76"")"),30)</f>
        <v>30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IFERROR(__xludf.DUMMYFUNCTION("IMPORTRANGE(""https://docs.google.com/spreadsheets/d/1eHaY18a8A9IcSdp1K8H6x8fbOy06t2VsZHhMHf-1x7Y/edit?usp=sharing"",""แผน!O76"")"),10)</f>
        <v>10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IFERROR(__xludf.DUMMYFUNCTION("IMPORTRANGE(""https://docs.google.com/spreadsheets/d/1eHaY18a8A9IcSdp1K8H6x8fbOy06t2VsZHhMHf-1x7Y/edit?usp=sharing"",""แผน!N76"")"),30)</f>
        <v>30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IFERROR(__xludf.DUMMYFUNCTION("IMPORTRANGE(""https://docs.google.com/spreadsheets/d/1eHaY18a8A9IcSdp1K8H6x8fbOy06t2VsZHhMHf-1x7Y/edit?usp=sharing"",""แผน!O76"")"),10)</f>
        <v>10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20</v>
      </c>
      <c r="J117" s="127">
        <f t="shared" si="73"/>
        <v>0</v>
      </c>
      <c r="K117" s="34">
        <f ca="1">IF(I117&gt;0,J117*100/I117,0)</f>
        <v>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209360</v>
      </c>
      <c r="R118" s="132">
        <f t="shared" ca="1" si="77"/>
        <v>209360</v>
      </c>
      <c r="S118" s="132">
        <f t="shared" ca="1" si="77"/>
        <v>30627</v>
      </c>
      <c r="T118" s="132">
        <f t="shared" ref="T118:T126" ca="1" si="78">IF(Q118&gt;0,S118*100/Q118,0)</f>
        <v>14.628868933893772</v>
      </c>
      <c r="U118" s="132">
        <f t="shared" ref="U118:U126" ca="1" si="79">IF(R118&gt;0,S118*100/R118,0)</f>
        <v>14.628868933893772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209360</v>
      </c>
      <c r="R120" s="46">
        <f t="shared" ca="1" si="81"/>
        <v>209360</v>
      </c>
      <c r="S120" s="46">
        <f t="shared" ca="1" si="81"/>
        <v>30627</v>
      </c>
      <c r="T120" s="46">
        <f t="shared" ca="1" si="78"/>
        <v>14.628868933893772</v>
      </c>
      <c r="U120" s="46">
        <f t="shared" ca="1" si="79"/>
        <v>14.628868933893772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209360</v>
      </c>
      <c r="R121" s="46">
        <f t="shared" ca="1" si="83"/>
        <v>209360</v>
      </c>
      <c r="S121" s="46">
        <f t="shared" ca="1" si="83"/>
        <v>30627</v>
      </c>
      <c r="T121" s="46">
        <f t="shared" ca="1" si="78"/>
        <v>14.628868933893772</v>
      </c>
      <c r="U121" s="46">
        <f t="shared" ca="1" si="79"/>
        <v>14.628868933893772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IFERROR(__xludf.DUMMYFUNCTION("IMPORTRANGE(""https://docs.google.com/spreadsheets/d/1-uDff_7J0KD5mKrp0Vvzr7lt3OU09vwQwhkpOPPYv2Y/edit?usp=sharing"",""งบพรบ!BG76"")"),0)</f>
        <v>0</v>
      </c>
      <c r="M123" s="46">
        <f ca="1">IFERROR(__xludf.DUMMYFUNCTION("IMPORTRANGE(""https://docs.google.com/spreadsheets/d/1-uDff_7J0KD5mKrp0Vvzr7lt3OU09vwQwhkpOPPYv2Y/edit?usp=sharing"",""งบพรบ!BL76"")"),0)</f>
        <v>0</v>
      </c>
      <c r="N123" s="46">
        <f ca="1">IFERROR(__xludf.DUMMYFUNCTION("IMPORTRANGE(""https://docs.google.com/spreadsheets/d/1-uDff_7J0KD5mKrp0Vvzr7lt3OU09vwQwhkpOPPYv2Y/edit?usp=sharing"",""งบพรบ!BN76"")"),0)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IFERROR(__xludf.DUMMYFUNCTION("IMPORTRANGE(""https://docs.google.com/spreadsheets/d/1ItG2mGa2ceCfYo0BwxsXqNm01IGEUdYcSSLTEv9YCik/edit?usp=sharing"",""เบิกจ่ายกองทุน!R76"")"),209360)</f>
        <v>209360</v>
      </c>
      <c r="R123" s="46">
        <f ca="1">IFERROR(__xludf.DUMMYFUNCTION("IMPORTRANGE(""https://docs.google.com/spreadsheets/d/1ItG2mGa2ceCfYo0BwxsXqNm01IGEUdYcSSLTEv9YCik/edit?usp=sharing"",""เบิกจ่ายกองทุน!S76"")"),209360)</f>
        <v>209360</v>
      </c>
      <c r="S123" s="46">
        <f ca="1">IFERROR(__xludf.DUMMYFUNCTION("IMPORTRANGE(""https://docs.google.com/spreadsheets/d/1ItG2mGa2ceCfYo0BwxsXqNm01IGEUdYcSSLTEv9YCik/edit?usp=sharing"",""เบิกจ่ายกองทุน!T76"")"),30627)</f>
        <v>30627</v>
      </c>
      <c r="T123" s="46">
        <f t="shared" ca="1" si="78"/>
        <v>14.628868933893772</v>
      </c>
      <c r="U123" s="46">
        <f t="shared" ca="1" si="79"/>
        <v>14.628868933893772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IFERROR(__xludf.DUMMYFUNCTION("IMPORTRANGE(""https://docs.google.com/spreadsheets/d/1-uDff_7J0KD5mKrp0Vvzr7lt3OU09vwQwhkpOPPYv2Y/edit?usp=sharing"",""งบพรบ!BJ76"")"),0)</f>
        <v>0</v>
      </c>
      <c r="M126" s="46">
        <f ca="1">IFERROR(__xludf.DUMMYFUNCTION("IMPORTRANGE(""https://docs.google.com/spreadsheets/d/1-uDff_7J0KD5mKrp0Vvzr7lt3OU09vwQwhkpOPPYv2Y/edit?usp=sharing"",""งบพรบ!BM76"")"),0)</f>
        <v>0</v>
      </c>
      <c r="N126" s="46">
        <f ca="1">IFERROR(__xludf.DUMMYFUNCTION("IMPORTRANGE(""https://docs.google.com/spreadsheets/d/1-uDff_7J0KD5mKrp0Vvzr7lt3OU09vwQwhkpOPPYv2Y/edit?usp=sharing"",""งบพรบ!BO76"")"),0)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IFERROR(__xludf.DUMMYFUNCTION("IMPORTRANGE(""https://docs.google.com/spreadsheets/d/1eHaY18a8A9IcSdp1K8H6x8fbOy06t2VsZHhMHf-1x7Y/edit?usp=sharing"",""แผน!FF76"")"),20)</f>
        <v>20</v>
      </c>
      <c r="J128" s="168">
        <v>0</v>
      </c>
      <c r="K128" s="46">
        <f t="shared" ref="K128:K131" ca="1" si="86">IF(I128&gt;0,J128*100/I128,0)</f>
        <v>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IFERROR(__xludf.DUMMYFUNCTION("IMPORTRANGE(""https://docs.google.com/spreadsheets/d/1eHaY18a8A9IcSdp1K8H6x8fbOy06t2VsZHhMHf-1x7Y/edit?usp=sharing"",""แผน!FG76"")"),0)</f>
        <v>0</v>
      </c>
      <c r="J129" s="168">
        <v>0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IFERROR(__xludf.DUMMYFUNCTION("IMPORTRANGE(""https://docs.google.com/spreadsheets/d/1eHaY18a8A9IcSdp1K8H6x8fbOy06t2VsZHhMHf-1x7Y/edit?usp=sharing"",""แผน!FH76"")"),20)</f>
        <v>20</v>
      </c>
      <c r="J130" s="168">
        <v>0</v>
      </c>
      <c r="K130" s="46">
        <f t="shared" ca="1" si="86"/>
        <v>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IFERROR(__xludf.DUMMYFUNCTION("IMPORTRANGE(""https://docs.google.com/spreadsheets/d/1eHaY18a8A9IcSdp1K8H6x8fbOy06t2VsZHhMHf-1x7Y/edit?usp=sharing"",""แผน!FI76"")"),0)</f>
        <v>0</v>
      </c>
      <c r="J131" s="168">
        <v>0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0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20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2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111200</v>
      </c>
      <c r="M140" s="132">
        <f t="shared" ca="1" si="90"/>
        <v>106200</v>
      </c>
      <c r="N140" s="132">
        <f t="shared" ca="1" si="90"/>
        <v>74115</v>
      </c>
      <c r="O140" s="132">
        <f t="shared" ref="O140:O148" ca="1" si="91">IF(L140&gt;0,N140*100/L140,0)</f>
        <v>66.650179856115102</v>
      </c>
      <c r="P140" s="132">
        <f t="shared" ref="P140:P148" ca="1" si="92">IF(M140&gt;0,N140*100/M140,0)</f>
        <v>69.788135593220332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111200</v>
      </c>
      <c r="M142" s="46">
        <f t="shared" ca="1" si="96"/>
        <v>106200</v>
      </c>
      <c r="N142" s="46">
        <f t="shared" ca="1" si="96"/>
        <v>74115</v>
      </c>
      <c r="O142" s="46">
        <f t="shared" ca="1" si="91"/>
        <v>66.650179856115102</v>
      </c>
      <c r="P142" s="46">
        <f t="shared" ca="1" si="92"/>
        <v>69.788135593220332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111200</v>
      </c>
      <c r="M143" s="46">
        <f t="shared" ca="1" si="98"/>
        <v>106200</v>
      </c>
      <c r="N143" s="46">
        <f t="shared" ca="1" si="98"/>
        <v>74115</v>
      </c>
      <c r="O143" s="46">
        <f t="shared" ca="1" si="91"/>
        <v>66.650179856115102</v>
      </c>
      <c r="P143" s="46">
        <f t="shared" ca="1" si="92"/>
        <v>69.788135593220332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IFERROR(__xludf.DUMMYFUNCTION("IMPORTRANGE(""https://docs.google.com/spreadsheets/d/1-uDff_7J0KD5mKrp0Vvzr7lt3OU09vwQwhkpOPPYv2Y/edit?usp=sharing"",""งบพรบ!BQ76"")"),111200)</f>
        <v>111200</v>
      </c>
      <c r="M145" s="46">
        <f ca="1">IFERROR(__xludf.DUMMYFUNCTION("IMPORTRANGE(""https://docs.google.com/spreadsheets/d/1-uDff_7J0KD5mKrp0Vvzr7lt3OU09vwQwhkpOPPYv2Y/edit?usp=sharing"",""งบพรบ!BV76"")"),106200)</f>
        <v>106200</v>
      </c>
      <c r="N145" s="46">
        <f ca="1">IFERROR(__xludf.DUMMYFUNCTION("IMPORTRANGE(""https://docs.google.com/spreadsheets/d/1-uDff_7J0KD5mKrp0Vvzr7lt3OU09vwQwhkpOPPYv2Y/edit?usp=sharing"",""งบพรบ!BX76"")"),74115)</f>
        <v>74115</v>
      </c>
      <c r="O145" s="46">
        <f t="shared" ca="1" si="91"/>
        <v>66.650179856115102</v>
      </c>
      <c r="P145" s="46">
        <f t="shared" ca="1" si="92"/>
        <v>69.788135593220332</v>
      </c>
      <c r="Q145" s="46">
        <f ca="1">IFERROR(__xludf.DUMMYFUNCTION("IMPORTRANGE(""https://docs.google.com/spreadsheets/d/1ItG2mGa2ceCfYo0BwxsXqNm01IGEUdYcSSLTEv9YCik/edit?usp=sharing"",""เบิกจ่ายกองทุน!BB76"")"),0)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IFERROR(__xludf.DUMMYFUNCTION("IMPORTRANGE(""https://docs.google.com/spreadsheets/d/1ItG2mGa2ceCfYo0BwxsXqNm01IGEUdYcSSLTEv9YCik/edit?usp=sharing"",""เบิกจ่ายกองทุน!BC76"")"),0)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IFERROR(__xludf.DUMMYFUNCTION("IMPORTRANGE(""https://docs.google.com/spreadsheets/d/1ItG2mGa2ceCfYo0BwxsXqNm01IGEUdYcSSLTEv9YCik/edit?usp=sharing"",""เบิกจ่ายกองทุน!BD76"")"),0)</f>
        <v>0</v>
      </c>
      <c r="T145" s="46">
        <f t="shared" ca="1" si="94"/>
        <v>0</v>
      </c>
      <c r="U145" s="46">
        <f t="shared" ca="1" si="95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IFERROR(__xludf.DUMMYFUNCTION("IMPORTRANGE(""https://docs.google.com/spreadsheets/d/1-uDff_7J0KD5mKrp0Vvzr7lt3OU09vwQwhkpOPPYv2Y/edit?usp=sharing"",""งบพรบ!BT76"")"),0)</f>
        <v>0</v>
      </c>
      <c r="M148" s="46">
        <f ca="1">IFERROR(__xludf.DUMMYFUNCTION("IMPORTRANGE(""https://docs.google.com/spreadsheets/d/1-uDff_7J0KD5mKrp0Vvzr7lt3OU09vwQwhkpOPPYv2Y/edit?usp=sharing"",""งบพรบ!BW76"")"),0)</f>
        <v>0</v>
      </c>
      <c r="N148" s="46">
        <f ca="1">IFERROR(__xludf.DUMMYFUNCTION("IMPORTRANGE(""https://docs.google.com/spreadsheets/d/1-uDff_7J0KD5mKrp0Vvzr7lt3OU09vwQwhkpOPPYv2Y/edit?usp=sharing"",""งบพรบ!BY76"")"),0)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IFERROR(__xludf.DUMMYFUNCTION("IMPORTRANGE(""https://docs.google.com/spreadsheets/d/1eHaY18a8A9IcSdp1K8H6x8fbOy06t2VsZHhMHf-1x7Y/edit?usp=sharing"",""แผน!U76"")"),0)</f>
        <v>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IFERROR(__xludf.DUMMYFUNCTION("IMPORTRANGE(""https://docs.google.com/spreadsheets/d/1eHaY18a8A9IcSdp1K8H6x8fbOy06t2VsZHhMHf-1x7Y/edit?usp=sharing"",""แผน!V76"")"),0)</f>
        <v>0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IFERROR(__xludf.DUMMYFUNCTION("IMPORTRANGE(""https://docs.google.com/spreadsheets/d/1eHaY18a8A9IcSdp1K8H6x8fbOy06t2VsZHhMHf-1x7Y/edit?usp=sharing"",""แผน!W76"")"),20)</f>
        <v>20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IFERROR(__xludf.DUMMYFUNCTION("IMPORTRANGE(""https://docs.google.com/spreadsheets/d/1eHaY18a8A9IcSdp1K8H6x8fbOy06t2VsZHhMHf-1x7Y/edit?usp=sharing"",""แผน!X76"")"),2)</f>
        <v>2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IFERROR(__xludf.DUMMYFUNCTION("IMPORTRANGE(""https://docs.google.com/spreadsheets/d/1eHaY18a8A9IcSdp1K8H6x8fbOy06t2VsZHhMHf-1x7Y/edit?usp=sharing"",""แผน!Y76"")"),0)</f>
        <v>0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I168</f>
        <v>15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3000</v>
      </c>
      <c r="M158" s="132">
        <f t="shared" ca="1" si="104"/>
        <v>2250</v>
      </c>
      <c r="N158" s="132">
        <f t="shared" ca="1" si="104"/>
        <v>0</v>
      </c>
      <c r="O158" s="132">
        <f t="shared" ref="O158:O166" ca="1" si="105">IF(L158&gt;0,N158*100/L158,0)</f>
        <v>0</v>
      </c>
      <c r="P158" s="132">
        <f t="shared" ref="P158:P166" ca="1" si="106">IF(M158&gt;0,N158*100/M158,0)</f>
        <v>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3000</v>
      </c>
      <c r="M160" s="46">
        <f t="shared" ca="1" si="110"/>
        <v>2250</v>
      </c>
      <c r="N160" s="46">
        <f t="shared" ca="1" si="110"/>
        <v>0</v>
      </c>
      <c r="O160" s="46">
        <f t="shared" ca="1" si="105"/>
        <v>0</v>
      </c>
      <c r="P160" s="46">
        <f t="shared" ca="1" si="106"/>
        <v>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3000</v>
      </c>
      <c r="M161" s="46">
        <f t="shared" ca="1" si="112"/>
        <v>2250</v>
      </c>
      <c r="N161" s="46">
        <f t="shared" ca="1" si="112"/>
        <v>0</v>
      </c>
      <c r="O161" s="46">
        <f t="shared" ca="1" si="105"/>
        <v>0</v>
      </c>
      <c r="P161" s="46">
        <f t="shared" ca="1" si="106"/>
        <v>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IFERROR(__xludf.DUMMYFUNCTION("IMPORTRANGE(""https://docs.google.com/spreadsheets/d/1-uDff_7J0KD5mKrp0Vvzr7lt3OU09vwQwhkpOPPYv2Y/edit?usp=sharing"",""งบพรบ!CA76"")"),3000)</f>
        <v>3000</v>
      </c>
      <c r="M163" s="46">
        <f ca="1">IFERROR(__xludf.DUMMYFUNCTION("IMPORTRANGE(""https://docs.google.com/spreadsheets/d/1-uDff_7J0KD5mKrp0Vvzr7lt3OU09vwQwhkpOPPYv2Y/edit?usp=sharing"",""งบพรบ!CF76"")"),2250)</f>
        <v>2250</v>
      </c>
      <c r="N163" s="46">
        <f ca="1">IFERROR(__xludf.DUMMYFUNCTION("IMPORTRANGE(""https://docs.google.com/spreadsheets/d/1-uDff_7J0KD5mKrp0Vvzr7lt3OU09vwQwhkpOPPYv2Y/edit?usp=sharing"",""งบพรบ!CH76"")"),0)</f>
        <v>0</v>
      </c>
      <c r="O163" s="46">
        <f t="shared" ca="1" si="105"/>
        <v>0</v>
      </c>
      <c r="P163" s="46">
        <f t="shared" ca="1" si="106"/>
        <v>0</v>
      </c>
      <c r="Q163" s="46">
        <f ca="1">IFERROR(__xludf.DUMMYFUNCTION("IMPORTRANGE(""https://docs.google.com/spreadsheets/d/1ItG2mGa2ceCfYo0BwxsXqNm01IGEUdYcSSLTEv9YCik/edit?usp=sharing"",""เบิกจ่ายกองทุน!AG76"")"),0)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IFERROR(__xludf.DUMMYFUNCTION("IMPORTRANGE(""https://docs.google.com/spreadsheets/d/1ItG2mGa2ceCfYo0BwxsXqNm01IGEUdYcSSLTEv9YCik/edit?usp=sharing"",""เบิกจ่ายกองทุน!AH76"")"),0)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IFERROR(__xludf.DUMMYFUNCTION("IMPORTRANGE(""https://docs.google.com/spreadsheets/d/1ItG2mGa2ceCfYo0BwxsXqNm01IGEUdYcSSLTEv9YCik/edit?usp=sharing"",""เบิกจ่ายกองทุน!AI76"")"),0)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IFERROR(__xludf.DUMMYFUNCTION("IMPORTRANGE(""https://docs.google.com/spreadsheets/d/1-uDff_7J0KD5mKrp0Vvzr7lt3OU09vwQwhkpOPPYv2Y/edit?usp=sharing"",""งบพรบ!CD76"")"),0)</f>
        <v>0</v>
      </c>
      <c r="M166" s="46">
        <f ca="1">IFERROR(__xludf.DUMMYFUNCTION("IMPORTRANGE(""https://docs.google.com/spreadsheets/d/1-uDff_7J0KD5mKrp0Vvzr7lt3OU09vwQwhkpOPPYv2Y/edit?usp=sharing"",""งบพรบ!CG76"")"),0)</f>
        <v>0</v>
      </c>
      <c r="N166" s="46">
        <f ca="1">IFERROR(__xludf.DUMMYFUNCTION("IMPORTRANGE(""https://docs.google.com/spreadsheets/d/1-uDff_7J0KD5mKrp0Vvzr7lt3OU09vwQwhkpOPPYv2Y/edit?usp=sharing"",""งบพรบ!CI76"")"),0)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IFERROR(__xludf.DUMMYFUNCTION("IMPORTRANGE(""https://docs.google.com/spreadsheets/d/1eHaY18a8A9IcSdp1K8H6x8fbOy06t2VsZHhMHf-1x7Y/edit?usp=sharing"",""แผน!Z76"")"),15)</f>
        <v>15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I168</f>
        <v>15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I168</f>
        <v>15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hidden="1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0</v>
      </c>
      <c r="J173" s="221">
        <f t="shared" si="117"/>
        <v>0</v>
      </c>
      <c r="K173" s="222">
        <f ca="1">IF(I173&gt;0,J173*100/I173,0)</f>
        <v>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hidden="1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0</v>
      </c>
      <c r="M174" s="132">
        <f t="shared" ca="1" si="118"/>
        <v>0</v>
      </c>
      <c r="N174" s="132">
        <f t="shared" ca="1" si="118"/>
        <v>0</v>
      </c>
      <c r="O174" s="132">
        <f t="shared" ref="O174:O182" ca="1" si="119">IF(L174&gt;0,N174*100/L174,0)</f>
        <v>0</v>
      </c>
      <c r="P174" s="132">
        <f t="shared" ref="P174:P182" ca="1" si="120">IF(M174&gt;0,N174*100/M174,0)</f>
        <v>0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0</v>
      </c>
      <c r="M176" s="46">
        <f t="shared" ca="1" si="124"/>
        <v>0</v>
      </c>
      <c r="N176" s="46">
        <f t="shared" ca="1" si="124"/>
        <v>0</v>
      </c>
      <c r="O176" s="46">
        <f t="shared" ca="1" si="119"/>
        <v>0</v>
      </c>
      <c r="P176" s="46">
        <f t="shared" ca="1" si="120"/>
        <v>0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hidden="1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0</v>
      </c>
      <c r="M177" s="46">
        <f t="shared" ca="1" si="126"/>
        <v>0</v>
      </c>
      <c r="N177" s="46">
        <f t="shared" ca="1" si="126"/>
        <v>0</v>
      </c>
      <c r="O177" s="46">
        <f t="shared" ca="1" si="119"/>
        <v>0</v>
      </c>
      <c r="P177" s="46">
        <f t="shared" ca="1" si="120"/>
        <v>0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IFERROR(__xludf.DUMMYFUNCTION("IMPORTRANGE(""https://docs.google.com/spreadsheets/d/1-uDff_7J0KD5mKrp0Vvzr7lt3OU09vwQwhkpOPPYv2Y/edit?usp=sharing"",""งบพรบ!CK76"")"),0)</f>
        <v>0</v>
      </c>
      <c r="M179" s="46">
        <f ca="1">IFERROR(__xludf.DUMMYFUNCTION("IMPORTRANGE(""https://docs.google.com/spreadsheets/d/1-uDff_7J0KD5mKrp0Vvzr7lt3OU09vwQwhkpOPPYv2Y/edit?usp=sharing"",""งบพรบ!CP76"")"),0)</f>
        <v>0</v>
      </c>
      <c r="N179" s="46">
        <f ca="1">IFERROR(__xludf.DUMMYFUNCTION("IMPORTRANGE(""https://docs.google.com/spreadsheets/d/1-uDff_7J0KD5mKrp0Vvzr7lt3OU09vwQwhkpOPPYv2Y/edit?usp=sharing"",""งบพรบ!CR76"")"),0)</f>
        <v>0</v>
      </c>
      <c r="O179" s="46">
        <f t="shared" ca="1" si="119"/>
        <v>0</v>
      </c>
      <c r="P179" s="46">
        <f t="shared" ca="1" si="120"/>
        <v>0</v>
      </c>
      <c r="Q179" s="46">
        <f ca="1">IFERROR(__xludf.DUMMYFUNCTION("IMPORTRANGE(""https://docs.google.com/spreadsheets/d/1ItG2mGa2ceCfYo0BwxsXqNm01IGEUdYcSSLTEv9YCik/edit?usp=sharing"",""เบิกจ่ายกองทุน!BE76"")"),0)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IFERROR(__xludf.DUMMYFUNCTION("IMPORTRANGE(""https://docs.google.com/spreadsheets/d/1ItG2mGa2ceCfYo0BwxsXqNm01IGEUdYcSSLTEv9YCik/edit?usp=sharing"",""เบิกจ่ายกองทุน!BF76"")"),0)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IFERROR(__xludf.DUMMYFUNCTION("IMPORTRANGE(""https://docs.google.com/spreadsheets/d/1ItG2mGa2ceCfYo0BwxsXqNm01IGEUdYcSSLTEv9YCik/edit?usp=sharing"",""เบิกจ่ายกองทุน!BG76"")"),0)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hidden="1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IFERROR(__xludf.DUMMYFUNCTION("IMPORTRANGE(""https://docs.google.com/spreadsheets/d/1-uDff_7J0KD5mKrp0Vvzr7lt3OU09vwQwhkpOPPYv2Y/edit?usp=sharing"",""งบพรบ!CN76"")"),0)</f>
        <v>0</v>
      </c>
      <c r="M182" s="46">
        <f ca="1">IFERROR(__xludf.DUMMYFUNCTION("IMPORTRANGE(""https://docs.google.com/spreadsheets/d/1-uDff_7J0KD5mKrp0Vvzr7lt3OU09vwQwhkpOPPYv2Y/edit?usp=sharing"",""งบพรบ!CQ76"")"),0)</f>
        <v>0</v>
      </c>
      <c r="N182" s="46">
        <f ca="1">IFERROR(__xludf.DUMMYFUNCTION("IMPORTRANGE(""https://docs.google.com/spreadsheets/d/1-uDff_7J0KD5mKrp0Vvzr7lt3OU09vwQwhkpOPPYv2Y/edit?usp=sharing"",""งบพรบ!CS76"")"),0)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hidden="1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IFERROR(__xludf.DUMMYFUNCTION("IMPORTRANGE(""https://docs.google.com/spreadsheets/d/1eHaY18a8A9IcSdp1K8H6x8fbOy06t2VsZHhMHf-1x7Y/edit?usp=sharing"",""แผน!AA76"")"),0)</f>
        <v>0</v>
      </c>
      <c r="J184" s="168">
        <v>0</v>
      </c>
      <c r="K184" s="46">
        <f t="shared" ref="K184:K186" ca="1" si="130">IF(I184&gt;0,J184*100/I184,0)</f>
        <v>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55500</v>
      </c>
      <c r="M187" s="132">
        <f t="shared" ca="1" si="132"/>
        <v>38200</v>
      </c>
      <c r="N187" s="132">
        <f t="shared" ca="1" si="132"/>
        <v>4502</v>
      </c>
      <c r="O187" s="132">
        <f t="shared" ref="O187:O195" ca="1" si="133">IF(L187&gt;0,N187*100/L187,0)</f>
        <v>8.1117117117117115</v>
      </c>
      <c r="P187" s="132">
        <f t="shared" ref="P187:P195" ca="1" si="134">IF(M187&gt;0,N187*100/M187,0)</f>
        <v>11.785340314136125</v>
      </c>
      <c r="Q187" s="132">
        <f t="shared" ref="Q187:S187" ca="1" si="135">Q188+Q189</f>
        <v>105700</v>
      </c>
      <c r="R187" s="132">
        <f t="shared" ca="1" si="135"/>
        <v>105700</v>
      </c>
      <c r="S187" s="132">
        <f t="shared" ca="1" si="135"/>
        <v>0</v>
      </c>
      <c r="T187" s="132">
        <f t="shared" ref="T187:T195" ca="1" si="136">IF(Q187&gt;0,S187*100/Q187,0)</f>
        <v>0</v>
      </c>
      <c r="U187" s="132">
        <f t="shared" ref="U187:U195" ca="1" si="137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55500</v>
      </c>
      <c r="M189" s="46">
        <f t="shared" ca="1" si="138"/>
        <v>38200</v>
      </c>
      <c r="N189" s="46">
        <f t="shared" ca="1" si="138"/>
        <v>4502</v>
      </c>
      <c r="O189" s="46">
        <f t="shared" ca="1" si="133"/>
        <v>8.1117117117117115</v>
      </c>
      <c r="P189" s="46">
        <f t="shared" ca="1" si="134"/>
        <v>11.785340314136125</v>
      </c>
      <c r="Q189" s="46">
        <f t="shared" ca="1" si="139"/>
        <v>105700</v>
      </c>
      <c r="R189" s="46">
        <f t="shared" ca="1" si="139"/>
        <v>105700</v>
      </c>
      <c r="S189" s="46">
        <f t="shared" ca="1" si="139"/>
        <v>0</v>
      </c>
      <c r="T189" s="46">
        <f t="shared" ca="1" si="136"/>
        <v>0</v>
      </c>
      <c r="U189" s="46">
        <f t="shared" ca="1" si="137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55500</v>
      </c>
      <c r="M190" s="46">
        <f t="shared" ca="1" si="140"/>
        <v>38200</v>
      </c>
      <c r="N190" s="46">
        <f t="shared" ca="1" si="140"/>
        <v>4502</v>
      </c>
      <c r="O190" s="46">
        <f t="shared" ca="1" si="133"/>
        <v>8.1117117117117115</v>
      </c>
      <c r="P190" s="46">
        <f t="shared" ca="1" si="134"/>
        <v>11.785340314136125</v>
      </c>
      <c r="Q190" s="46">
        <f t="shared" ref="Q190:S190" ca="1" si="141">Q191+Q192</f>
        <v>105700</v>
      </c>
      <c r="R190" s="46">
        <f t="shared" ca="1" si="141"/>
        <v>105700</v>
      </c>
      <c r="S190" s="46">
        <f t="shared" ca="1" si="141"/>
        <v>0</v>
      </c>
      <c r="T190" s="46">
        <f t="shared" ca="1" si="136"/>
        <v>0</v>
      </c>
      <c r="U190" s="46">
        <f t="shared" ca="1" si="137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IFERROR(__xludf.DUMMYFUNCTION("IMPORTRANGE(""https://docs.google.com/spreadsheets/d/1-uDff_7J0KD5mKrp0Vvzr7lt3OU09vwQwhkpOPPYv2Y/edit?usp=sharing"",""งบพรบ!CU76"")"),55500)</f>
        <v>55500</v>
      </c>
      <c r="M192" s="46">
        <f ca="1">IFERROR(__xludf.DUMMYFUNCTION("IMPORTRANGE(""https://docs.google.com/spreadsheets/d/1-uDff_7J0KD5mKrp0Vvzr7lt3OU09vwQwhkpOPPYv2Y/edit?usp=sharing"",""งบพรบ!CZ76"")"),38200)</f>
        <v>38200</v>
      </c>
      <c r="N192" s="46">
        <f ca="1">IFERROR(__xludf.DUMMYFUNCTION("IMPORTRANGE(""https://docs.google.com/spreadsheets/d/1-uDff_7J0KD5mKrp0Vvzr7lt3OU09vwQwhkpOPPYv2Y/edit?usp=sharing"",""งบพรบ!DB76"")"),4502)</f>
        <v>4502</v>
      </c>
      <c r="O192" s="46">
        <f t="shared" ca="1" si="133"/>
        <v>8.1117117117117115</v>
      </c>
      <c r="P192" s="46">
        <f t="shared" ca="1" si="134"/>
        <v>11.785340314136125</v>
      </c>
      <c r="Q192" s="46">
        <f ca="1">IFERROR(__xludf.DUMMYFUNCTION("IMPORTRANGE(""https://docs.google.com/spreadsheets/d/1ItG2mGa2ceCfYo0BwxsXqNm01IGEUdYcSSLTEv9YCik/edit?usp=sharing"",""เบิกจ่ายกองทุน!AV76"")"),105700)</f>
        <v>105700</v>
      </c>
      <c r="R192" s="46">
        <f ca="1">IFERROR(__xludf.DUMMYFUNCTION("IMPORTRANGE(""https://docs.google.com/spreadsheets/d/1ItG2mGa2ceCfYo0BwxsXqNm01IGEUdYcSSLTEv9YCik/edit?usp=sharing"",""เบิกจ่ายกองทุน!AW76"")"),105700)</f>
        <v>105700</v>
      </c>
      <c r="S192" s="46">
        <f ca="1">IFERROR(__xludf.DUMMYFUNCTION("IMPORTRANGE(""https://docs.google.com/spreadsheets/d/1ItG2mGa2ceCfYo0BwxsXqNm01IGEUdYcSSLTEv9YCik/edit?usp=sharing"",""เบิกจ่ายกองทุน!AX76"")"),0)</f>
        <v>0</v>
      </c>
      <c r="T192" s="46">
        <f t="shared" ca="1" si="136"/>
        <v>0</v>
      </c>
      <c r="U192" s="46">
        <f t="shared" ca="1" si="137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IFERROR(__xludf.DUMMYFUNCTION("IMPORTRANGE(""https://docs.google.com/spreadsheets/d/1-uDff_7J0KD5mKrp0Vvzr7lt3OU09vwQwhkpOPPYv2Y/edit?usp=sharing"",""งบพรบ!CX76"")"),0)</f>
        <v>0</v>
      </c>
      <c r="M195" s="46">
        <f ca="1">IFERROR(__xludf.DUMMYFUNCTION("IMPORTRANGE(""https://docs.google.com/spreadsheets/d/1-uDff_7J0KD5mKrp0Vvzr7lt3OU09vwQwhkpOPPYv2Y/edit?usp=sharing"",""งบพรบ!DA76"")"),0)</f>
        <v>0</v>
      </c>
      <c r="N195" s="46">
        <f ca="1">IFERROR(__xludf.DUMMYFUNCTION("IMPORTRANGE(""https://docs.google.com/spreadsheets/d/1-uDff_7J0KD5mKrp0Vvzr7lt3OU09vwQwhkpOPPYv2Y/edit?usp=sharing"",""งบพรบ!DC76"")"),0)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0</v>
      </c>
      <c r="K196" s="236">
        <f ca="1">IF(I196&gt;0,J196*100/I196,0)</f>
        <v>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IFERROR(__xludf.DUMMYFUNCTION("IMPORTRANGE(""https://docs.google.com/spreadsheets/d/1eHaY18a8A9IcSdp1K8H6x8fbOy06t2VsZHhMHf-1x7Y/edit?usp=sharing"",""แผน!AB76"")"),6000)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IFERROR(__xludf.DUMMYFUNCTION("IMPORTRANGE(""https://docs.google.com/spreadsheets/d/1eHaY18a8A9IcSdp1K8H6x8fbOy06t2VsZHhMHf-1x7Y/edit?usp=sharing"",""แผน!AE76"")"),4)</f>
        <v>4</v>
      </c>
      <c r="J199" s="168">
        <v>0</v>
      </c>
      <c r="K199" s="46">
        <f ca="1">IF(I199&gt;0,J199*100/I199,0)</f>
        <v>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0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0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4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15000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IFERROR(__xludf.DUMMYFUNCTION("IMPORTRANGE(""https://docs.google.com/spreadsheets/d/1eHaY18a8A9IcSdp1K8H6x8fbOy06t2VsZHhMHf-1x7Y/edit?usp=sharing"",""แผน!AG76"")"),2000)</f>
        <v>2000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IFERROR(__xludf.DUMMYFUNCTION("IMPORTRANGE(""https://docs.google.com/spreadsheets/d/1eHaY18a8A9IcSdp1K8H6x8fbOy06t2VsZHhMHf-1x7Y/edit?usp=sharing"",""แผน!AH76"")"),0)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IFERROR(__xludf.DUMMYFUNCTION("IMPORTRANGE(""https://docs.google.com/spreadsheets/d/1eHaY18a8A9IcSdp1K8H6x8fbOy06t2VsZHhMHf-1x7Y/edit?usp=sharing"",""แผน!AI76"")"),0)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IFERROR(__xludf.DUMMYFUNCTION("IMPORTRANGE(""https://docs.google.com/spreadsheets/d/1eHaY18a8A9IcSdp1K8H6x8fbOy06t2VsZHhMHf-1x7Y/edit?usp=sharing"",""แผน!AJ76"")"),13000)</f>
        <v>13000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IFERROR(__xludf.DUMMYFUNCTION("IMPORTRANGE(""https://docs.google.com/spreadsheets/d/1eHaY18a8A9IcSdp1K8H6x8fbOy06t2VsZHhMHf-1x7Y/edit?usp=sharing"",""แผน!AK76"")"),4)</f>
        <v>4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IFERROR(__xludf.DUMMYFUNCTION("IMPORTRANGE(""https://docs.google.com/spreadsheets/d/1eHaY18a8A9IcSdp1K8H6x8fbOy06t2VsZHhMHf-1x7Y/edit?usp=sharing"",""แผน!JX76"")"),2)</f>
        <v>2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IFERROR(__xludf.DUMMYFUNCTION("IMPORTRANGE(""https://docs.google.com/spreadsheets/d/1eHaY18a8A9IcSdp1K8H6x8fbOy06t2VsZHhMHf-1x7Y/edit?usp=sharing"",""แผน!JY76"")"),1)</f>
        <v>1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1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6000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IFERROR(__xludf.DUMMYFUNCTION("IMPORTRANGE(""https://docs.google.com/spreadsheets/d/1eHaY18a8A9IcSdp1K8H6x8fbOy06t2VsZHhMHf-1x7Y/edit?usp=sharing"",""แผน!AM76"")"),1000)</f>
        <v>1000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IFERROR(__xludf.DUMMYFUNCTION("IMPORTRANGE(""https://docs.google.com/spreadsheets/d/1eHaY18a8A9IcSdp1K8H6x8fbOy06t2VsZHhMHf-1x7Y/edit?usp=sharing"",""แผน!AN76"")"),5000)</f>
        <v>5000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IFERROR(__xludf.DUMMYFUNCTION("IMPORTRANGE(""https://docs.google.com/spreadsheets/d/1eHaY18a8A9IcSdp1K8H6x8fbOy06t2VsZHhMHf-1x7Y/edit?usp=sharing"",""แผน!AO76"")"),0)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IFERROR(__xludf.DUMMYFUNCTION("IMPORTRANGE(""https://docs.google.com/spreadsheets/d/1eHaY18a8A9IcSdp1K8H6x8fbOy06t2VsZHhMHf-1x7Y/edit?usp=sharing"",""แผน!AP76"")"),1)</f>
        <v>1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20000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IFERROR(__xludf.DUMMYFUNCTION("IMPORTRANGE(""https://docs.google.com/spreadsheets/d/1eHaY18a8A9IcSdp1K8H6x8fbOy06t2VsZHhMHf-1x7Y/edit?usp=sharing"",""แผน!AR76"")"),2500)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IFERROR(__xludf.DUMMYFUNCTION("IMPORTRANGE(""https://docs.google.com/spreadsheets/d/1eHaY18a8A9IcSdp1K8H6x8fbOy06t2VsZHhMHf-1x7Y/edit?usp=sharing"",""แผน!AS76"")"),2000)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IFERROR(__xludf.DUMMYFUNCTION("IMPORTRANGE(""https://docs.google.com/spreadsheets/d/1eHaY18a8A9IcSdp1K8H6x8fbOy06t2VsZHhMHf-1x7Y/edit?usp=sharing"",""แผน!AT76"")"),0)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IFERROR(__xludf.DUMMYFUNCTION("IMPORTRANGE(""https://docs.google.com/spreadsheets/d/1eHaY18a8A9IcSdp1K8H6x8fbOy06t2VsZHhMHf-1x7Y/edit?usp=sharing"",""แผน!AV76"")"),20000)</f>
        <v>20000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IFERROR(__xludf.DUMMYFUNCTION("IMPORTRANGE(""https://docs.google.com/spreadsheets/d/1eHaY18a8A9IcSdp1K8H6x8fbOy06t2VsZHhMHf-1x7Y/edit?usp=sharing"",""แผน!AU76"")"),0)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1">I243+I254</f>
        <v>0</v>
      </c>
      <c r="J232" s="573">
        <f t="shared" si="151"/>
        <v>0</v>
      </c>
      <c r="K232" s="574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4">I250+I261</f>
        <v>0</v>
      </c>
      <c r="J239" s="340">
        <f t="shared" si="154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5">I252+I263</f>
        <v>0</v>
      </c>
      <c r="J241" s="340">
        <f t="shared" si="155"/>
        <v>0</v>
      </c>
      <c r="K241" s="48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5"/>
        <v>0</v>
      </c>
      <c r="J242" s="340">
        <f t="shared" si="155"/>
        <v>0</v>
      </c>
      <c r="K242" s="48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IFERROR(__xludf.DUMMYFUNCTION("IMPORTRANGE(""https://docs.google.com/spreadsheets/d/1eHaY18a8A9IcSdp1K8H6x8fbOy06t2VsZHhMHf-1x7Y/edit?usp=sharing"",""แผน!AX76"")"),0)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IFERROR(__xludf.DUMMYFUNCTION("IMPORTRANGE(""https://docs.google.com/spreadsheets/d/1eHaY18a8A9IcSdp1K8H6x8fbOy06t2VsZHhMHf-1x7Y/edit?usp=sharing"",""แผน!AY76"")"),0)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IFERROR(__xludf.DUMMYFUNCTION("IMPORTRANGE(""https://docs.google.com/spreadsheets/d/1eHaY18a8A9IcSdp1K8H6x8fbOy06t2VsZHhMHf-1x7Y/edit?usp=sharing"",""แผน!AZ76"")"),0)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IFERROR(__xludf.DUMMYFUNCTION("IMPORTRANGE(""https://docs.google.com/spreadsheets/d/1eHaY18a8A9IcSdp1K8H6x8fbOy06t2VsZHhMHf-1x7Y/edit?usp=sharing"",""แผน!BA76"")"),0)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IFERROR(__xludf.DUMMYFUNCTION("IMPORTRANGE(""https://docs.google.com/spreadsheets/d/1eHaY18a8A9IcSdp1K8H6x8fbOy06t2VsZHhMHf-1x7Y/edit?usp=sharing"",""แผน!BG76"")"),0)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IFERROR(__xludf.DUMMYFUNCTION("IMPORTRANGE(""https://docs.google.com/spreadsheets/d/1eHaY18a8A9IcSdp1K8H6x8fbOy06t2VsZHhMHf-1x7Y/edit?usp=sharing"",""แผน!BB76"")"),0)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IFERROR(__xludf.DUMMYFUNCTION("IMPORTRANGE(""https://docs.google.com/spreadsheets/d/1eHaY18a8A9IcSdp1K8H6x8fbOy06t2VsZHhMHf-1x7Y/edit?usp=sharing"",""แผน!BC76"")"),0)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IFERROR(__xludf.DUMMYFUNCTION("IMPORTRANGE(""https://docs.google.com/spreadsheets/d/1eHaY18a8A9IcSdp1K8H6x8fbOy06t2VsZHhMHf-1x7Y/edit?usp=sharing"",""แผน!BD76"")"),0)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IFERROR(__xludf.DUMMYFUNCTION("IMPORTRANGE(""https://docs.google.com/spreadsheets/d/1eHaY18a8A9IcSdp1K8H6x8fbOy06t2VsZHhMHf-1x7Y/edit?usp=sharing"",""แผน!BE76"")"),0)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IFERROR(__xludf.DUMMYFUNCTION("IMPORTRANGE(""https://docs.google.com/spreadsheets/d/1eHaY18a8A9IcSdp1K8H6x8fbOy06t2VsZHhMHf-1x7Y/edit?usp=sharing"",""แผน!BH76"")"),0)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24</v>
      </c>
      <c r="J266" s="613">
        <f t="shared" si="161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2">L268+L269</f>
        <v>0</v>
      </c>
      <c r="M267" s="626">
        <f t="shared" ca="1" si="162"/>
        <v>19870</v>
      </c>
      <c r="N267" s="626">
        <f t="shared" ca="1" si="162"/>
        <v>9990</v>
      </c>
      <c r="O267" s="626">
        <f t="shared" ref="O267:O275" ca="1" si="163">IF(L267&gt;0,N267*100/L267,0)</f>
        <v>0</v>
      </c>
      <c r="P267" s="626">
        <f t="shared" ref="P267:P275" ca="1" si="164">IF(M267&gt;0,N267*100/M267,0)</f>
        <v>50.276799194765978</v>
      </c>
      <c r="Q267" s="626">
        <f t="shared" ref="Q267:S267" ca="1" si="165">Q268+Q269</f>
        <v>53440</v>
      </c>
      <c r="R267" s="626">
        <f t="shared" ca="1" si="165"/>
        <v>53440</v>
      </c>
      <c r="S267" s="626">
        <f t="shared" ca="1" si="165"/>
        <v>0</v>
      </c>
      <c r="T267" s="626">
        <f t="shared" ref="T267:T275" ca="1" si="166">IF(Q267&gt;0,S267*100/Q267,0)</f>
        <v>0</v>
      </c>
      <c r="U267" s="626">
        <f t="shared" ref="U267:U275" ca="1" si="167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8"/>
        <v>0</v>
      </c>
      <c r="M269" s="630">
        <f t="shared" ca="1" si="168"/>
        <v>19870</v>
      </c>
      <c r="N269" s="630">
        <f t="shared" ca="1" si="168"/>
        <v>9990</v>
      </c>
      <c r="O269" s="630">
        <f t="shared" ca="1" si="163"/>
        <v>0</v>
      </c>
      <c r="P269" s="630">
        <f t="shared" ca="1" si="164"/>
        <v>50.276799194765978</v>
      </c>
      <c r="Q269" s="630">
        <f t="shared" ca="1" si="169"/>
        <v>53440</v>
      </c>
      <c r="R269" s="630">
        <f t="shared" ca="1" si="169"/>
        <v>53440</v>
      </c>
      <c r="S269" s="630">
        <f t="shared" ca="1" si="169"/>
        <v>0</v>
      </c>
      <c r="T269" s="630">
        <f t="shared" ca="1" si="166"/>
        <v>0</v>
      </c>
      <c r="U269" s="630">
        <f t="shared" ca="1" si="167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70">L271+L272</f>
        <v>0</v>
      </c>
      <c r="M270" s="630">
        <f t="shared" ca="1" si="170"/>
        <v>19870</v>
      </c>
      <c r="N270" s="630">
        <f t="shared" ca="1" si="170"/>
        <v>9990</v>
      </c>
      <c r="O270" s="630">
        <f t="shared" ca="1" si="163"/>
        <v>0</v>
      </c>
      <c r="P270" s="630">
        <f t="shared" ca="1" si="164"/>
        <v>50.276799194765978</v>
      </c>
      <c r="Q270" s="630">
        <f t="shared" ref="Q270:S270" ca="1" si="171">Q271+Q272</f>
        <v>53440</v>
      </c>
      <c r="R270" s="630">
        <f t="shared" ca="1" si="171"/>
        <v>53440</v>
      </c>
      <c r="S270" s="630">
        <f t="shared" ca="1" si="171"/>
        <v>0</v>
      </c>
      <c r="T270" s="630">
        <f t="shared" ca="1" si="166"/>
        <v>0</v>
      </c>
      <c r="U270" s="630">
        <f t="shared" ca="1" si="167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IFERROR(__xludf.DUMMYFUNCTION("IMPORTRANGE(""https://docs.google.com/spreadsheets/d/1-uDff_7J0KD5mKrp0Vvzr7lt3OU09vwQwhkpOPPYv2Y/edit?usp=sharing"",""งบพรบ!DE76"")"),0)</f>
        <v>0</v>
      </c>
      <c r="M272" s="630">
        <f ca="1">IFERROR(__xludf.DUMMYFUNCTION("IMPORTRANGE(""https://docs.google.com/spreadsheets/d/1-uDff_7J0KD5mKrp0Vvzr7lt3OU09vwQwhkpOPPYv2Y/edit?usp=sharing"",""งบพรบ!DJ76"")"),19870)</f>
        <v>19870</v>
      </c>
      <c r="N272" s="630">
        <f ca="1">IFERROR(__xludf.DUMMYFUNCTION("IMPORTRANGE(""https://docs.google.com/spreadsheets/d/1-uDff_7J0KD5mKrp0Vvzr7lt3OU09vwQwhkpOPPYv2Y/edit?usp=sharing"",""งบพรบ!DL76"")"),9990)</f>
        <v>9990</v>
      </c>
      <c r="O272" s="630">
        <f t="shared" ca="1" si="163"/>
        <v>0</v>
      </c>
      <c r="P272" s="630">
        <f t="shared" ca="1" si="164"/>
        <v>50.276799194765978</v>
      </c>
      <c r="Q272" s="630">
        <f ca="1">IFERROR(__xludf.DUMMYFUNCTION("IMPORTRANGE(""https://docs.google.com/spreadsheets/d/1ItG2mGa2ceCfYo0BwxsXqNm01IGEUdYcSSLTEv9YCik/edit?usp=sharing"",""เบิกจ่ายกองทุน!AJ76"")"),53440)</f>
        <v>53440</v>
      </c>
      <c r="R272" s="630">
        <f ca="1">IFERROR(__xludf.DUMMYFUNCTION("IMPORTRANGE(""https://docs.google.com/spreadsheets/d/1ItG2mGa2ceCfYo0BwxsXqNm01IGEUdYcSSLTEv9YCik/edit?usp=sharing"",""เบิกจ่ายกองทุน!AK76"")"),53440)</f>
        <v>53440</v>
      </c>
      <c r="S272" s="630">
        <f ca="1">IFERROR(__xludf.DUMMYFUNCTION("IMPORTRANGE(""https://docs.google.com/spreadsheets/d/1ItG2mGa2ceCfYo0BwxsXqNm01IGEUdYcSSLTEv9YCik/edit?usp=sharing"",""เบิกจ่ายกองทุน!AL76"")"),0)</f>
        <v>0</v>
      </c>
      <c r="T272" s="630">
        <f t="shared" ca="1" si="166"/>
        <v>0</v>
      </c>
      <c r="U272" s="630">
        <f t="shared" ca="1" si="167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2">L274+L275</f>
        <v>0</v>
      </c>
      <c r="M273" s="630">
        <f t="shared" ca="1" si="172"/>
        <v>0</v>
      </c>
      <c r="N273" s="630">
        <f t="shared" ca="1" si="172"/>
        <v>0</v>
      </c>
      <c r="O273" s="630">
        <f t="shared" ca="1" si="163"/>
        <v>0</v>
      </c>
      <c r="P273" s="630">
        <f t="shared" ca="1" si="164"/>
        <v>0</v>
      </c>
      <c r="Q273" s="630">
        <f t="shared" ref="Q273:S273" si="173">Q274+Q275</f>
        <v>0</v>
      </c>
      <c r="R273" s="630">
        <f t="shared" si="173"/>
        <v>0</v>
      </c>
      <c r="S273" s="630">
        <f t="shared" si="173"/>
        <v>0</v>
      </c>
      <c r="T273" s="630">
        <f t="shared" si="166"/>
        <v>0</v>
      </c>
      <c r="U273" s="630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IFERROR(__xludf.DUMMYFUNCTION("IMPORTRANGE(""https://docs.google.com/spreadsheets/d/1-uDff_7J0KD5mKrp0Vvzr7lt3OU09vwQwhkpOPPYv2Y/edit?usp=sharing"",""งบพรบ!DH76"")"),0)</f>
        <v>0</v>
      </c>
      <c r="M275" s="630">
        <f ca="1">IFERROR(__xludf.DUMMYFUNCTION("IMPORTRANGE(""https://docs.google.com/spreadsheets/d/1-uDff_7J0KD5mKrp0Vvzr7lt3OU09vwQwhkpOPPYv2Y/edit?usp=sharing"",""งบพรบ!DK76"")"),0)</f>
        <v>0</v>
      </c>
      <c r="N275" s="630">
        <f ca="1">IFERROR(__xludf.DUMMYFUNCTION("IMPORTRANGE(""https://docs.google.com/spreadsheets/d/1-uDff_7J0KD5mKrp0Vvzr7lt3OU09vwQwhkpOPPYv2Y/edit?usp=sharing"",""งบพรบ!DM76"")"),0)</f>
        <v>0</v>
      </c>
      <c r="O275" s="630">
        <f t="shared" ca="1" si="163"/>
        <v>0</v>
      </c>
      <c r="P275" s="630">
        <f t="shared" ca="1" si="164"/>
        <v>0</v>
      </c>
      <c r="Q275" s="630">
        <v>0</v>
      </c>
      <c r="R275" s="630">
        <v>0</v>
      </c>
      <c r="S275" s="630">
        <v>0</v>
      </c>
      <c r="T275" s="630">
        <f t="shared" si="166"/>
        <v>0</v>
      </c>
      <c r="U275" s="630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IFERROR(__xludf.DUMMYFUNCTION("IMPORTRANGE(""https://docs.google.com/spreadsheets/d/1eHaY18a8A9IcSdp1K8H6x8fbOy06t2VsZHhMHf-1x7Y/edit?usp=sharing"",""แผน!EC76"")"),24)</f>
        <v>24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0</v>
      </c>
      <c r="J281" s="298">
        <f t="shared" si="174"/>
        <v>0</v>
      </c>
      <c r="K281" s="299">
        <f t="shared" ref="K281:K282" ca="1" si="175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0</v>
      </c>
      <c r="J282" s="298">
        <f t="shared" si="176"/>
        <v>0</v>
      </c>
      <c r="K282" s="299">
        <f t="shared" ca="1" si="175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0</v>
      </c>
      <c r="M283" s="132">
        <f t="shared" ca="1" si="177"/>
        <v>0</v>
      </c>
      <c r="N283" s="132">
        <f t="shared" ca="1" si="177"/>
        <v>0</v>
      </c>
      <c r="O283" s="132">
        <f t="shared" ref="O283:O291" ca="1" si="178">IF(L283&gt;0,N283*100/L283,0)</f>
        <v>0</v>
      </c>
      <c r="P283" s="132">
        <f t="shared" ref="P283:P291" ca="1" si="179">IF(M283&gt;0,N283*100/M283,0)</f>
        <v>0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0</v>
      </c>
      <c r="M285" s="46">
        <f t="shared" ca="1" si="183"/>
        <v>0</v>
      </c>
      <c r="N285" s="46">
        <f t="shared" ca="1" si="183"/>
        <v>0</v>
      </c>
      <c r="O285" s="46">
        <f t="shared" ca="1" si="178"/>
        <v>0</v>
      </c>
      <c r="P285" s="46">
        <f t="shared" ca="1" si="179"/>
        <v>0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0</v>
      </c>
      <c r="M286" s="46">
        <f t="shared" ca="1" si="185"/>
        <v>0</v>
      </c>
      <c r="N286" s="46">
        <f t="shared" ca="1" si="185"/>
        <v>0</v>
      </c>
      <c r="O286" s="46">
        <f t="shared" ca="1" si="178"/>
        <v>0</v>
      </c>
      <c r="P286" s="46">
        <f t="shared" ca="1" si="179"/>
        <v>0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IFERROR(__xludf.DUMMYFUNCTION("IMPORTRANGE(""https://docs.google.com/spreadsheets/d/1-uDff_7J0KD5mKrp0Vvzr7lt3OU09vwQwhkpOPPYv2Y/edit?usp=sharing"",""งบพรบ!DO76"")"),0)</f>
        <v>0</v>
      </c>
      <c r="M288" s="46">
        <f ca="1">IFERROR(__xludf.DUMMYFUNCTION("IMPORTRANGE(""https://docs.google.com/spreadsheets/d/1-uDff_7J0KD5mKrp0Vvzr7lt3OU09vwQwhkpOPPYv2Y/edit?usp=sharing"",""งบพรบ!DT76"")"),0)</f>
        <v>0</v>
      </c>
      <c r="N288" s="46">
        <f ca="1">IFERROR(__xludf.DUMMYFUNCTION("IMPORTRANGE(""https://docs.google.com/spreadsheets/d/1-uDff_7J0KD5mKrp0Vvzr7lt3OU09vwQwhkpOPPYv2Y/edit?usp=sharing"",""งบพรบ!DV76"")"),0)</f>
        <v>0</v>
      </c>
      <c r="O288" s="46">
        <f t="shared" ca="1" si="178"/>
        <v>0</v>
      </c>
      <c r="P288" s="46">
        <f t="shared" ca="1" si="179"/>
        <v>0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IFERROR(__xludf.DUMMYFUNCTION("IMPORTRANGE(""https://docs.google.com/spreadsheets/d/1-uDff_7J0KD5mKrp0Vvzr7lt3OU09vwQwhkpOPPYv2Y/edit?usp=sharing"",""งบพรบ!DR76"")"),0)</f>
        <v>0</v>
      </c>
      <c r="M291" s="46">
        <f ca="1">IFERROR(__xludf.DUMMYFUNCTION("IMPORTRANGE(""https://docs.google.com/spreadsheets/d/1-uDff_7J0KD5mKrp0Vvzr7lt3OU09vwQwhkpOPPYv2Y/edit?usp=sharing"",""งบพรบ!DU76"")"),0)</f>
        <v>0</v>
      </c>
      <c r="N291" s="46">
        <f ca="1">IFERROR(__xludf.DUMMYFUNCTION("IMPORTRANGE(""https://docs.google.com/spreadsheets/d/1-uDff_7J0KD5mKrp0Vvzr7lt3OU09vwQwhkpOPPYv2Y/edit?usp=sharing"",""งบพรบ!DW76"")"),0)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IFERROR(__xludf.DUMMYFUNCTION("IMPORTRANGE(""https://docs.google.com/spreadsheets/d/1eHaY18a8A9IcSdp1K8H6x8fbOy06t2VsZHhMHf-1x7Y/edit?usp=sharing"",""แผน!EE76"")"),0)</f>
        <v>0</v>
      </c>
      <c r="J293" s="168">
        <v>0</v>
      </c>
      <c r="K293" s="153">
        <f t="shared" ref="K293:K294" ca="1" si="189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IFERROR(__xludf.DUMMYFUNCTION("IMPORTRANGE(""https://docs.google.com/spreadsheets/d/1eHaY18a8A9IcSdp1K8H6x8fbOy06t2VsZHhMHf-1x7Y/edit?usp=sharing"",""แผน!ED76"")"),0)</f>
        <v>0</v>
      </c>
      <c r="J294" s="147">
        <f>J297</f>
        <v>0</v>
      </c>
      <c r="K294" s="148">
        <f t="shared" ca="1" si="189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8">
        <v>0</v>
      </c>
      <c r="K296" s="153">
        <f t="shared" ref="K296:K297" ca="1" si="190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IFERROR(__xludf.DUMMYFUNCTION("IMPORTRANGE(""https://docs.google.com/spreadsheets/d/1eHaY18a8A9IcSdp1K8H6x8fbOy06t2VsZHhMHf-1x7Y/edit?usp=sharing"",""แผน!ED76"")"),0)</f>
        <v>0</v>
      </c>
      <c r="J297" s="168">
        <v>0</v>
      </c>
      <c r="K297" s="153">
        <f t="shared" ca="1" si="190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30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0</v>
      </c>
      <c r="M304" s="132">
        <f t="shared" ca="1" si="192"/>
        <v>0</v>
      </c>
      <c r="N304" s="132">
        <f t="shared" ca="1" si="192"/>
        <v>0</v>
      </c>
      <c r="O304" s="132">
        <f t="shared" ref="O304:O312" ca="1" si="193">IF(L304&gt;0,N304*100/L304,0)</f>
        <v>0</v>
      </c>
      <c r="P304" s="132">
        <f t="shared" ref="P304:P312" ca="1" si="194">IF(M304&gt;0,N304*100/M304,0)</f>
        <v>0</v>
      </c>
      <c r="Q304" s="132">
        <f t="shared" ref="Q304:S304" ca="1" si="195">Q305+Q306</f>
        <v>260958.39</v>
      </c>
      <c r="R304" s="132">
        <f t="shared" ca="1" si="195"/>
        <v>260958</v>
      </c>
      <c r="S304" s="132">
        <f t="shared" ca="1" si="195"/>
        <v>1620</v>
      </c>
      <c r="T304" s="132">
        <f t="shared" ref="T304:T312" ca="1" si="196">IF(Q304&gt;0,S304*100/Q304,0)</f>
        <v>0.62078862457727457</v>
      </c>
      <c r="U304" s="132">
        <f t="shared" ref="U304:U312" ca="1" si="197">IF(R304&gt;0,S304*100/R304,0)</f>
        <v>0.62078955234175615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0</v>
      </c>
      <c r="M306" s="46">
        <f t="shared" ca="1" si="198"/>
        <v>0</v>
      </c>
      <c r="N306" s="46">
        <f t="shared" ca="1" si="198"/>
        <v>0</v>
      </c>
      <c r="O306" s="46">
        <f t="shared" ca="1" si="193"/>
        <v>0</v>
      </c>
      <c r="P306" s="46">
        <f t="shared" ca="1" si="194"/>
        <v>0</v>
      </c>
      <c r="Q306" s="46">
        <f t="shared" ca="1" si="199"/>
        <v>260958.39</v>
      </c>
      <c r="R306" s="46">
        <f t="shared" ca="1" si="199"/>
        <v>260958</v>
      </c>
      <c r="S306" s="46">
        <f t="shared" ca="1" si="199"/>
        <v>1620</v>
      </c>
      <c r="T306" s="46">
        <f t="shared" ca="1" si="196"/>
        <v>0.62078862457727457</v>
      </c>
      <c r="U306" s="46">
        <f t="shared" ca="1" si="197"/>
        <v>0.62078955234175615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0</v>
      </c>
      <c r="M307" s="46">
        <f t="shared" ca="1" si="200"/>
        <v>0</v>
      </c>
      <c r="N307" s="46">
        <f t="shared" ca="1" si="200"/>
        <v>0</v>
      </c>
      <c r="O307" s="46">
        <f t="shared" ca="1" si="193"/>
        <v>0</v>
      </c>
      <c r="P307" s="46">
        <f t="shared" ca="1" si="194"/>
        <v>0</v>
      </c>
      <c r="Q307" s="46">
        <f t="shared" ref="Q307:S307" ca="1" si="201">Q308+Q309</f>
        <v>260958.39</v>
      </c>
      <c r="R307" s="46">
        <f t="shared" ca="1" si="201"/>
        <v>260958</v>
      </c>
      <c r="S307" s="46">
        <f t="shared" ca="1" si="201"/>
        <v>1620</v>
      </c>
      <c r="T307" s="46">
        <f t="shared" ca="1" si="196"/>
        <v>0.62078862457727457</v>
      </c>
      <c r="U307" s="46">
        <f t="shared" ca="1" si="197"/>
        <v>0.62078955234175615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IFERROR(__xludf.DUMMYFUNCTION("IMPORTRANGE(""https://docs.google.com/spreadsheets/d/1-uDff_7J0KD5mKrp0Vvzr7lt3OU09vwQwhkpOPPYv2Y/edit?usp=sharing"",""งบพรบ!DY76"")"),0)</f>
        <v>0</v>
      </c>
      <c r="M309" s="46">
        <f ca="1">IFERROR(__xludf.DUMMYFUNCTION("IMPORTRANGE(""https://docs.google.com/spreadsheets/d/1-uDff_7J0KD5mKrp0Vvzr7lt3OU09vwQwhkpOPPYv2Y/edit?usp=sharing"",""งบพรบ!ED76"")"),0)</f>
        <v>0</v>
      </c>
      <c r="N309" s="46">
        <f ca="1">IFERROR(__xludf.DUMMYFUNCTION("IMPORTRANGE(""https://docs.google.com/spreadsheets/d/1-uDff_7J0KD5mKrp0Vvzr7lt3OU09vwQwhkpOPPYv2Y/edit?usp=sharing"",""งบพรบ!EF76"")"),0)</f>
        <v>0</v>
      </c>
      <c r="O309" s="46">
        <f t="shared" ca="1" si="193"/>
        <v>0</v>
      </c>
      <c r="P309" s="46">
        <f t="shared" ca="1" si="194"/>
        <v>0</v>
      </c>
      <c r="Q309" s="46">
        <f ca="1">IFERROR(__xludf.DUMMYFUNCTION("IMPORTRANGE(""https://docs.google.com/spreadsheets/d/1ItG2mGa2ceCfYo0BwxsXqNm01IGEUdYcSSLTEv9YCik/edit?usp=sharing"",""เบิกจ่ายกองทุน!AP76"")"),260958.39)</f>
        <v>260958.39</v>
      </c>
      <c r="R309" s="46">
        <f ca="1">IFERROR(__xludf.DUMMYFUNCTION("IMPORTRANGE(""https://docs.google.com/spreadsheets/d/1ItG2mGa2ceCfYo0BwxsXqNm01IGEUdYcSSLTEv9YCik/edit?usp=sharing"",""เบิกจ่ายกองทุน!AQ76"")"),260958)</f>
        <v>260958</v>
      </c>
      <c r="S309" s="46">
        <f ca="1">IFERROR(__xludf.DUMMYFUNCTION("IMPORTRANGE(""https://docs.google.com/spreadsheets/d/1ItG2mGa2ceCfYo0BwxsXqNm01IGEUdYcSSLTEv9YCik/edit?usp=sharing"",""เบิกจ่ายกองทุน!AR76"")"),1620)</f>
        <v>1620</v>
      </c>
      <c r="T309" s="46">
        <f t="shared" ca="1" si="196"/>
        <v>0.62078862457727457</v>
      </c>
      <c r="U309" s="46">
        <f t="shared" ca="1" si="197"/>
        <v>0.62078955234175615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IFERROR(__xludf.DUMMYFUNCTION("IMPORTRANGE(""https://docs.google.com/spreadsheets/d/1-uDff_7J0KD5mKrp0Vvzr7lt3OU09vwQwhkpOPPYv2Y/edit?usp=sharing"",""งบพรบ!EB76"")"),0)</f>
        <v>0</v>
      </c>
      <c r="M312" s="46">
        <f ca="1">IFERROR(__xludf.DUMMYFUNCTION("IMPORTRANGE(""https://docs.google.com/spreadsheets/d/1-uDff_7J0KD5mKrp0Vvzr7lt3OU09vwQwhkpOPPYv2Y/edit?usp=sharing"",""งบพรบ!EE76"")"),0)</f>
        <v>0</v>
      </c>
      <c r="N312" s="46">
        <f ca="1">IFERROR(__xludf.DUMMYFUNCTION("IMPORTRANGE(""https://docs.google.com/spreadsheets/d/1-uDff_7J0KD5mKrp0Vvzr7lt3OU09vwQwhkpOPPYv2Y/edit?usp=sharing"",""งบพรบ!EG76"")"),0)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IFERROR(__xludf.DUMMYFUNCTION("IMPORTRANGE(""https://docs.google.com/spreadsheets/d/1eHaY18a8A9IcSdp1K8H6x8fbOy06t2VsZHhMHf-1x7Y/edit?usp=sharing"",""แผน!EF76"")"),30)</f>
        <v>30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1</v>
      </c>
      <c r="J320" s="321">
        <f t="shared" si="204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20000</v>
      </c>
      <c r="M321" s="132">
        <f t="shared" ca="1" si="205"/>
        <v>20000</v>
      </c>
      <c r="N321" s="132">
        <f t="shared" ca="1" si="205"/>
        <v>15742.1</v>
      </c>
      <c r="O321" s="132">
        <f t="shared" ref="O321:O329" ca="1" si="206">IF(L321&gt;0,N321*100/L321,0)</f>
        <v>78.710499999999996</v>
      </c>
      <c r="P321" s="132">
        <f t="shared" ref="P321:P329" ca="1" si="207">IF(M321&gt;0,N321*100/M321,0)</f>
        <v>78.710499999999996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20000</v>
      </c>
      <c r="M323" s="46">
        <f t="shared" ca="1" si="211"/>
        <v>20000</v>
      </c>
      <c r="N323" s="46">
        <f t="shared" ca="1" si="211"/>
        <v>15742.1</v>
      </c>
      <c r="O323" s="46">
        <f t="shared" ca="1" si="206"/>
        <v>78.710499999999996</v>
      </c>
      <c r="P323" s="46">
        <f t="shared" ca="1" si="207"/>
        <v>78.710499999999996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20000</v>
      </c>
      <c r="M324" s="46">
        <f t="shared" ca="1" si="213"/>
        <v>20000</v>
      </c>
      <c r="N324" s="46">
        <f t="shared" ca="1" si="213"/>
        <v>15742.1</v>
      </c>
      <c r="O324" s="46">
        <f t="shared" ca="1" si="206"/>
        <v>78.710499999999996</v>
      </c>
      <c r="P324" s="46">
        <f t="shared" ca="1" si="207"/>
        <v>78.710499999999996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IFERROR(__xludf.DUMMYFUNCTION("IMPORTRANGE(""https://docs.google.com/spreadsheets/d/1-uDff_7J0KD5mKrp0Vvzr7lt3OU09vwQwhkpOPPYv2Y/edit?usp=sharing"",""งบพรบ!EI76"")"),20000)</f>
        <v>20000</v>
      </c>
      <c r="M326" s="46">
        <f ca="1">IFERROR(__xludf.DUMMYFUNCTION("IMPORTRANGE(""https://docs.google.com/spreadsheets/d/1-uDff_7J0KD5mKrp0Vvzr7lt3OU09vwQwhkpOPPYv2Y/edit?usp=sharing"",""งบพรบ!EN76"")"),20000)</f>
        <v>20000</v>
      </c>
      <c r="N326" s="46">
        <f ca="1">IFERROR(__xludf.DUMMYFUNCTION("IMPORTRANGE(""https://docs.google.com/spreadsheets/d/1-uDff_7J0KD5mKrp0Vvzr7lt3OU09vwQwhkpOPPYv2Y/edit?usp=sharing"",""งบพรบ!EP76"")"),15742.1)</f>
        <v>15742.1</v>
      </c>
      <c r="O326" s="46">
        <f t="shared" ca="1" si="206"/>
        <v>78.710499999999996</v>
      </c>
      <c r="P326" s="46">
        <f t="shared" ca="1" si="207"/>
        <v>78.710499999999996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IFERROR(__xludf.DUMMYFUNCTION("IMPORTRANGE(""https://docs.google.com/spreadsheets/d/1-uDff_7J0KD5mKrp0Vvzr7lt3OU09vwQwhkpOPPYv2Y/edit?usp=sharing"",""งบพรบ!EL76"")"),0)</f>
        <v>0</v>
      </c>
      <c r="M329" s="46">
        <f ca="1">IFERROR(__xludf.DUMMYFUNCTION("IMPORTRANGE(""https://docs.google.com/spreadsheets/d/1-uDff_7J0KD5mKrp0Vvzr7lt3OU09vwQwhkpOPPYv2Y/edit?usp=sharing"",""งบพรบ!EO76"")"),0)</f>
        <v>0</v>
      </c>
      <c r="N329" s="46">
        <f ca="1">IFERROR(__xludf.DUMMYFUNCTION("IMPORTRANGE(""https://docs.google.com/spreadsheets/d/1-uDff_7J0KD5mKrp0Vvzr7lt3OU09vwQwhkpOPPYv2Y/edit?usp=sharing"",""งบพรบ!EQ76"")"),0)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IFERROR(__xludf.DUMMYFUNCTION("IMPORTRANGE(""https://docs.google.com/spreadsheets/d/1eHaY18a8A9IcSdp1K8H6x8fbOy06t2VsZHhMHf-1x7Y/edit?usp=sharing"",""แผน!EJ76"")"),1)</f>
        <v>1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2060</v>
      </c>
      <c r="J333" s="665">
        <f ca="1">J345+J348+J349+J350+J354</f>
        <v>9343</v>
      </c>
      <c r="K333" s="666">
        <f ca="1">IF(I333&gt;0,J333*100/I333,0)</f>
        <v>453.54368932038835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109000</v>
      </c>
      <c r="M334" s="132">
        <f t="shared" ca="1" si="217"/>
        <v>114000</v>
      </c>
      <c r="N334" s="132">
        <f t="shared" ca="1" si="217"/>
        <v>66914</v>
      </c>
      <c r="O334" s="132">
        <f t="shared" ref="O334:O342" ca="1" si="218">IF(L334&gt;0,N334*100/L334,0)</f>
        <v>61.388990825688076</v>
      </c>
      <c r="P334" s="132">
        <f t="shared" ref="P334:P342" ca="1" si="219">IF(M334&gt;0,N334*100/M334,0)</f>
        <v>58.696491228070172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109000</v>
      </c>
      <c r="M336" s="46">
        <f t="shared" ca="1" si="223"/>
        <v>114000</v>
      </c>
      <c r="N336" s="46">
        <f t="shared" ca="1" si="223"/>
        <v>66914</v>
      </c>
      <c r="O336" s="46">
        <f t="shared" ca="1" si="218"/>
        <v>61.388990825688076</v>
      </c>
      <c r="P336" s="46">
        <f t="shared" ca="1" si="219"/>
        <v>58.696491228070172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109000</v>
      </c>
      <c r="M337" s="46">
        <f t="shared" ca="1" si="225"/>
        <v>114000</v>
      </c>
      <c r="N337" s="46">
        <f t="shared" ca="1" si="225"/>
        <v>66914</v>
      </c>
      <c r="O337" s="46">
        <f t="shared" ca="1" si="218"/>
        <v>61.388990825688076</v>
      </c>
      <c r="P337" s="46">
        <f t="shared" ca="1" si="219"/>
        <v>58.696491228070172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IFERROR(__xludf.DUMMYFUNCTION("IMPORTRANGE(""https://docs.google.com/spreadsheets/d/1-uDff_7J0KD5mKrp0Vvzr7lt3OU09vwQwhkpOPPYv2Y/edit?usp=sharing"",""งบพรบ!ES76"")"),109000)</f>
        <v>109000</v>
      </c>
      <c r="M339" s="46">
        <f ca="1">IFERROR(__xludf.DUMMYFUNCTION("IMPORTRANGE(""https://docs.google.com/spreadsheets/d/1-uDff_7J0KD5mKrp0Vvzr7lt3OU09vwQwhkpOPPYv2Y/edit?usp=sharing"",""งบพรบ!EX76"")"),114000)</f>
        <v>114000</v>
      </c>
      <c r="N339" s="46">
        <f ca="1">IFERROR(__xludf.DUMMYFUNCTION("IMPORTRANGE(""https://docs.google.com/spreadsheets/d/1-uDff_7J0KD5mKrp0Vvzr7lt3OU09vwQwhkpOPPYv2Y/edit?usp=sharing"",""งบพรบ!EZ76"")"),66914)</f>
        <v>66914</v>
      </c>
      <c r="O339" s="46">
        <f t="shared" ca="1" si="218"/>
        <v>61.388990825688076</v>
      </c>
      <c r="P339" s="46">
        <f t="shared" ca="1" si="219"/>
        <v>58.696491228070172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IFERROR(__xludf.DUMMYFUNCTION("IMPORTRANGE(""https://docs.google.com/spreadsheets/d/1-uDff_7J0KD5mKrp0Vvzr7lt3OU09vwQwhkpOPPYv2Y/edit?usp=sharing"",""งบพรบ!EV76"")"),0)</f>
        <v>0</v>
      </c>
      <c r="M342" s="46">
        <f ca="1">IFERROR(__xludf.DUMMYFUNCTION("IMPORTRANGE(""https://docs.google.com/spreadsheets/d/1-uDff_7J0KD5mKrp0Vvzr7lt3OU09vwQwhkpOPPYv2Y/edit?usp=sharing"",""งบพรบ!EY76"")"),0)</f>
        <v>0</v>
      </c>
      <c r="N342" s="46">
        <f ca="1">IFERROR(__xludf.DUMMYFUNCTION("IMPORTRANGE(""https://docs.google.com/spreadsheets/d/1-uDff_7J0KD5mKrp0Vvzr7lt3OU09vwQwhkpOPPYv2Y/edit?usp=sharing"",""งบพรบ!FA76"")"),0)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3778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IFERROR(__xludf.DUMMYFUNCTION("IMPORTRANGE(""https://docs.google.com/spreadsheets/d/1eHaY18a8A9IcSdp1K8H6x8fbOy06t2VsZHhMHf-1x7Y/edit?usp=sharing"",""แผน!EK76"")"),2060)</f>
        <v>2060</v>
      </c>
      <c r="J345" s="152">
        <f ca="1">IFERROR(__xludf.DUMMYFUNCTION("IMPORTRANGE(""https://docs.google.com/spreadsheets/d/1awYsYK3VOup2i3Pq_Yjnu8DRu_mYwSBnCR2QPthd0rU/edit?usp=sharing"",""ศูนย์ยกเว้นโฉนด!D76"")"),3776)</f>
        <v>3776</v>
      </c>
      <c r="K345" s="46">
        <f ca="1">IF(I345&gt;0,J345*100/I345,0)</f>
        <v>183.30097087378641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IFERROR(__xludf.DUMMYFUNCTION("IMPORTRANGE(""https://docs.google.com/spreadsheets/d/1eHaY18a8A9IcSdp1K8H6x8fbOy06t2VsZHhMHf-1x7Y/edit?usp=sharing"",""แผน!EL76"")"),3)</f>
        <v>3</v>
      </c>
      <c r="J347" s="152">
        <f ca="1">IFERROR(__xludf.DUMMYFUNCTION("IMPORTRANGE(""https://docs.google.com/spreadsheets/d/1awYsYK3VOup2i3Pq_Yjnu8DRu_mYwSBnCR2QPthd0rU/edit?usp=sharing"",""ศูนย์รวม!E76"")"),2)</f>
        <v>2</v>
      </c>
      <c r="K347" s="46">
        <f ca="1">IF(I347&gt;0,J347*100/I347,0)</f>
        <v>66.666666666666671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6317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IFERROR(__xludf.DUMMYFUNCTION("IMPORTRANGE(""https://docs.google.com/spreadsheets/d/1awYsYK3VOup2i3Pq_Yjnu8DRu_mYwSBnCR2QPthd0rU/edit?usp=sharing"",""โฉนดM3!G76"")"),752)</f>
        <v>752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IFERROR(__xludf.DUMMYFUNCTION("IMPORTRANGE(""https://docs.google.com/spreadsheets/d/1awYsYK3VOup2i3Pq_Yjnu8DRu_mYwSBnCR2QPthd0rU/edit?usp=sharing"",""โฉนดM3!H76"")"),5565)</f>
        <v>5565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492430</v>
      </c>
      <c r="M357" s="132">
        <f t="shared" ca="1" si="229"/>
        <v>501430</v>
      </c>
      <c r="N357" s="132">
        <f t="shared" ca="1" si="229"/>
        <v>297953.28000000003</v>
      </c>
      <c r="O357" s="132">
        <f t="shared" ref="O357:O365" ca="1" si="230">IF(L357&gt;0,N357*100/L357,0)</f>
        <v>60.506727859797337</v>
      </c>
      <c r="P357" s="132">
        <f t="shared" ref="P357:P365" ca="1" si="231">IF(M357&gt;0,N357*100/M357,0)</f>
        <v>59.420712761502109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492430</v>
      </c>
      <c r="M359" s="46">
        <f t="shared" ca="1" si="235"/>
        <v>501430</v>
      </c>
      <c r="N359" s="46">
        <f t="shared" ca="1" si="235"/>
        <v>297953.28000000003</v>
      </c>
      <c r="O359" s="46">
        <f t="shared" ca="1" si="230"/>
        <v>60.506727859797337</v>
      </c>
      <c r="P359" s="46">
        <f t="shared" ca="1" si="231"/>
        <v>59.420712761502109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492430</v>
      </c>
      <c r="M360" s="46">
        <f t="shared" ca="1" si="237"/>
        <v>501430</v>
      </c>
      <c r="N360" s="46">
        <f t="shared" ca="1" si="237"/>
        <v>297953.28000000003</v>
      </c>
      <c r="O360" s="46">
        <f t="shared" ca="1" si="230"/>
        <v>60.506727859797337</v>
      </c>
      <c r="P360" s="46">
        <f t="shared" ca="1" si="231"/>
        <v>59.420712761502109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IFERROR(__xludf.DUMMYFUNCTION("IMPORTRANGE(""https://docs.google.com/spreadsheets/d/1-uDff_7J0KD5mKrp0Vvzr7lt3OU09vwQwhkpOPPYv2Y/edit?usp=sharing"",""งบพรบ!FC76"")"),492430)</f>
        <v>492430</v>
      </c>
      <c r="M362" s="46">
        <f ca="1">IFERROR(__xludf.DUMMYFUNCTION("IMPORTRANGE(""https://docs.google.com/spreadsheets/d/1-uDff_7J0KD5mKrp0Vvzr7lt3OU09vwQwhkpOPPYv2Y/edit?usp=sharing"",""งบพรบ!FH76"")"),501430)</f>
        <v>501430</v>
      </c>
      <c r="N362" s="46">
        <f ca="1">IFERROR(__xludf.DUMMYFUNCTION("IMPORTRANGE(""https://docs.google.com/spreadsheets/d/1-uDff_7J0KD5mKrp0Vvzr7lt3OU09vwQwhkpOPPYv2Y/edit?usp=sharing"",""งบพรบ!FJ76"")"),297953.28)</f>
        <v>297953.28000000003</v>
      </c>
      <c r="O362" s="46">
        <f t="shared" ca="1" si="230"/>
        <v>60.506727859797337</v>
      </c>
      <c r="P362" s="46">
        <f t="shared" ca="1" si="231"/>
        <v>59.420712761502109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IFERROR(__xludf.DUMMYFUNCTION("IMPORTRANGE(""https://docs.google.com/spreadsheets/d/1-uDff_7J0KD5mKrp0Vvzr7lt3OU09vwQwhkpOPPYv2Y/edit?usp=sharing"",""งบพรบ!FF76"")"),0)</f>
        <v>0</v>
      </c>
      <c r="M365" s="46">
        <f ca="1">IFERROR(__xludf.DUMMYFUNCTION("IMPORTRANGE(""https://docs.google.com/spreadsheets/d/1-uDff_7J0KD5mKrp0Vvzr7lt3OU09vwQwhkpOPPYv2Y/edit?usp=sharing"",""งบพรบ!FI76"")"),0)</f>
        <v>0</v>
      </c>
      <c r="N365" s="46">
        <f ca="1">IFERROR(__xludf.DUMMYFUNCTION("IMPORTRANGE(""https://docs.google.com/spreadsheets/d/1-uDff_7J0KD5mKrp0Vvzr7lt3OU09vwQwhkpOPPYv2Y/edit?usp=sharing"",""งบพรบ!FK76"")"),0)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179</v>
      </c>
      <c r="J366" s="235">
        <f t="shared" ca="1" si="241"/>
        <v>288</v>
      </c>
      <c r="K366" s="236">
        <f ca="1">IF(I366&gt;0,J366*100/I366,0)</f>
        <v>160.89385474860336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IFERROR(__xludf.DUMMYFUNCTION("IMPORTRANGE(""https://docs.google.com/spreadsheets/d/1tdoBKaGub7dwA3U6UFTqxio9LNnvDCQjHKmttSEBsFQ/edit?usp=sharing"",""จัดที่ดิน!AB76"")"),172)</f>
        <v>172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IFERROR(__xludf.DUMMYFUNCTION("IMPORTRANGE(""https://docs.google.com/spreadsheets/d/1eHaY18a8A9IcSdp1K8H6x8fbOy06t2VsZHhMHf-1x7Y/edit?usp=sharing"",""แผน!EW76"")"),1625)</f>
        <v>1625</v>
      </c>
      <c r="J369" s="676">
        <f ca="1">IFERROR(__xludf.DUMMYFUNCTION("IMPORTRANGE(""https://docs.google.com/spreadsheets/d/1tdoBKaGub7dwA3U6UFTqxio9LNnvDCQjHKmttSEBsFQ/edit?usp=sharing"",""จัดที่ดิน!AC76"")"),1584.62)</f>
        <v>1584.62</v>
      </c>
      <c r="K369" s="46">
        <f t="shared" ca="1" si="242"/>
        <v>97.515076923076919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IFERROR(__xludf.DUMMYFUNCTION("IMPORTRANGE(""https://docs.google.com/spreadsheets/d/1eHaY18a8A9IcSdp1K8H6x8fbOy06t2VsZHhMHf-1x7Y/edit?usp=sharing"",""แผน!EX76"")"),280)</f>
        <v>280</v>
      </c>
      <c r="J370" s="152">
        <f ca="1">IFERROR(__xludf.DUMMYFUNCTION("IMPORTRANGE(""https://docs.google.com/spreadsheets/d/1tdoBKaGub7dwA3U6UFTqxio9LNnvDCQjHKmttSEBsFQ/edit?usp=sharing"",""จัดที่ดิน!AD76"")"),360)</f>
        <v>360</v>
      </c>
      <c r="K370" s="46">
        <f t="shared" ca="1" si="242"/>
        <v>128.57142857142858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IFERROR(__xludf.DUMMYFUNCTION("IMPORTRANGE(""https://docs.google.com/spreadsheets/d/1tdoBKaGub7dwA3U6UFTqxio9LNnvDCQjHKmttSEBsFQ/edit?usp=sharing"",""จัดที่ดิน!AE76"")"),4321.17)</f>
        <v>4321.17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IFERROR(__xludf.DUMMYFUNCTION("IMPORTRANGE(""https://docs.google.com/spreadsheets/d/1eHaY18a8A9IcSdp1K8H6x8fbOy06t2VsZHhMHf-1x7Y/edit?usp=sharing"",""แผน!EY76"")"),179)</f>
        <v>179</v>
      </c>
      <c r="J372" s="152">
        <f ca="1">IFERROR(__xludf.DUMMYFUNCTION("IMPORTRANGE(""https://docs.google.com/spreadsheets/d/1tdoBKaGub7dwA3U6UFTqxio9LNnvDCQjHKmttSEBsFQ/edit?usp=sharing"",""จัดที่ดิน!AF76"")"),288)</f>
        <v>288</v>
      </c>
      <c r="K372" s="46">
        <f t="shared" ca="1" si="242"/>
        <v>160.89385474860336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IFERROR(__xludf.DUMMYFUNCTION("IMPORTRANGE(""https://docs.google.com/spreadsheets/d/1tdoBKaGub7dwA3U6UFTqxio9LNnvDCQjHKmttSEBsFQ/edit?usp=sharing"",""จัดที่ดิน!AG76"")"),3617.2)</f>
        <v>3617.2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I387+I389</f>
        <v>2000</v>
      </c>
      <c r="J375" s="684">
        <f t="shared" ca="1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125000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125000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125000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IFERROR(__xludf.DUMMYFUNCTION("IMPORTRANGE(""https://docs.google.com/spreadsheets/d/1ItG2mGa2ceCfYo0BwxsXqNm01IGEUdYcSSLTEv9YCik/edit?usp=sharing"",""เบิกจ่ายกองทุน!AY76"")"),125000)</f>
        <v>125000</v>
      </c>
      <c r="R381" s="46">
        <f ca="1">IFERROR(__xludf.DUMMYFUNCTION("IMPORTRANGE(""https://docs.google.com/spreadsheets/d/1ItG2mGa2ceCfYo0BwxsXqNm01IGEUdYcSSLTEv9YCik/edit?usp=sharing"",""เบิกจ่ายกองทุน!AZ76"")"),0)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IFERROR(__xludf.DUMMYFUNCTION("IMPORTRANGE(""https://docs.google.com/spreadsheets/d/1ItG2mGa2ceCfYo0BwxsXqNm01IGEUdYcSSLTEv9YCik/edit?usp=sharing"",""เบิกจ่ายกองทุน!BA76"")"),0)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IFERROR(__xludf.DUMMYFUNCTION("IMPORTRANGE(""https://docs.google.com/spreadsheets/d/1w5rwWK1o49a35cNtocGL0gxDwhFSTZUQu90BiH9_zqM/edit?usp=sharing"",""RTK!H76"")"),0)</f>
        <v>0</v>
      </c>
      <c r="K386" s="46">
        <f t="shared" ref="K386:K389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IFERROR(__xludf.DUMMYFUNCTION("IMPORTRANGE(""https://docs.google.com/spreadsheets/d/1w5rwWK1o49a35cNtocGL0gxDwhFSTZUQu90BiH9_zqM/edit?usp=sharing"",""RTK!G76"")"),2000)</f>
        <v>2000</v>
      </c>
      <c r="J387" s="152">
        <f ca="1">IFERROR(__xludf.DUMMYFUNCTION("IMPORTRANGE(""https://docs.google.com/spreadsheets/d/1w5rwWK1o49a35cNtocGL0gxDwhFSTZUQu90BiH9_zqM/edit?usp=sharing"",""RTK!I76"")"),0)</f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IFERROR(__xludf.DUMMYFUNCTION("IMPORTRANGE(""https://docs.google.com/spreadsheets/d/1w5rwWK1o49a35cNtocGL0gxDwhFSTZUQu90BiH9_zqM/edit?usp=sharing"",""RTK!L76"")"),0)</f>
        <v>0</v>
      </c>
      <c r="K388" s="630">
        <f t="shared" si="256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IFERROR(__xludf.DUMMYFUNCTION("IMPORTRANGE(""https://docs.google.com/spreadsheets/d/1w5rwWK1o49a35cNtocGL0gxDwhFSTZUQu90BiH9_zqM/edit?usp=sharing"",""RTK!K76"")"),0)</f>
        <v>0</v>
      </c>
      <c r="J389" s="691">
        <f ca="1">IFERROR(__xludf.DUMMYFUNCTION("IMPORTRANGE(""https://docs.google.com/spreadsheets/d/1w5rwWK1o49a35cNtocGL0gxDwhFSTZUQu90BiH9_zqM/edit?usp=sharing"",""RTK!M76"")"),0)</f>
        <v>0</v>
      </c>
      <c r="K389" s="630">
        <f t="shared" ca="1" si="256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IFERROR(__xludf.DUMMYFUNCTION("IMPORTRANGE(""https://docs.google.com/spreadsheets/d/1ItG2mGa2ceCfYo0BwxsXqNm01IGEUdYcSSLTEv9YCik/edit?usp=sharing"",""เบิกจ่ายกองทุน!BH76"")"),0)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IFERROR(__xludf.DUMMYFUNCTION("IMPORTRANGE(""https://docs.google.com/spreadsheets/d/1ItG2mGa2ceCfYo0BwxsXqNm01IGEUdYcSSLTEv9YCik/edit?usp=sharing"",""เบิกจ่ายกองทุน!BI76"")"),0)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IFERROR(__xludf.DUMMYFUNCTION("IMPORTRANGE(""https://docs.google.com/spreadsheets/d/1ItG2mGa2ceCfYo0BwxsXqNm01IGEUdYcSSLTEv9YCik/edit?usp=sharing"",""เบิกจ่ายกองทุน!BJ76"")"),0)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IFERROR(__xludf.DUMMYFUNCTION("IMPORTRANGE(""https://docs.google.com/spreadsheets/d/1eHaY18a8A9IcSdp1K8H6x8fbOy06t2VsZHhMHf-1x7Y/edit?usp=sharing"",""แผน!HJ76"")"),0)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IFERROR(__xludf.DUMMYFUNCTION("IMPORTRANGE(""https://docs.google.com/spreadsheets/d/1eHaY18a8A9IcSdp1K8H6x8fbOy06t2VsZHhMHf-1x7Y/edit?usp=sharing"",""แผน!HK76"")"),0)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IFERROR(__xludf.DUMMYFUNCTION("IMPORTRANGE(""https://docs.google.com/spreadsheets/d/1eHaY18a8A9IcSdp1K8H6x8fbOy06t2VsZHhMHf-1x7Y/edit?usp=sharing"",""แผน!HJ76"")"),0)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IFERROR(__xludf.DUMMYFUNCTION("IMPORTRANGE(""https://docs.google.com/spreadsheets/d/1eHaY18a8A9IcSdp1K8H6x8fbOy06t2VsZHhMHf-1x7Y/edit?usp=sharing"",""แผน!HK76"")"),0)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IFERROR(__xludf.DUMMYFUNCTION("IMPORTRANGE(""https://docs.google.com/spreadsheets/d/1eHaY18a8A9IcSdp1K8H6x8fbOy06t2VsZHhMHf-1x7Y/edit?usp=sharing"",""แผน!HJ76"")"),0)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IFERROR(__xludf.DUMMYFUNCTION("IMPORTRANGE(""https://docs.google.com/spreadsheets/d/1eHaY18a8A9IcSdp1K8H6x8fbOy06t2VsZHhMHf-1x7Y/edit?usp=sharing"",""แผน!HK76"")"),0)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IFERROR(__xludf.DUMMYFUNCTION("IMPORTRANGE(""https://docs.google.com/spreadsheets/d/1eHaY18a8A9IcSdp1K8H6x8fbOy06t2VsZHhMHf-1x7Y/edit?usp=sharing"",""แผน!HL76"")"),0)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IFERROR(__xludf.DUMMYFUNCTION("IMPORTRANGE(""https://docs.google.com/spreadsheets/d/1eHaY18a8A9IcSdp1K8H6x8fbOy06t2VsZHhMHf-1x7Y/edit?usp=sharing"",""แผน!HM76"")"),0)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IFERROR(__xludf.DUMMYFUNCTION("IMPORTRANGE(""https://docs.google.com/spreadsheets/d/1eHaY18a8A9IcSdp1K8H6x8fbOy06t2VsZHhMHf-1x7Y/edit?usp=sharing"",""แผน!HN76"")"),0)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IFERROR(__xludf.DUMMYFUNCTION("IMPORTRANGE(""https://docs.google.com/spreadsheets/d/1eHaY18a8A9IcSdp1K8H6x8fbOy06t2VsZHhMHf-1x7Y/edit?usp=sharing"",""แผน!HO76"")"),0)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50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648025</v>
      </c>
      <c r="R494" s="132">
        <f t="shared" ca="1" si="305"/>
        <v>648025</v>
      </c>
      <c r="S494" s="132">
        <f t="shared" ca="1" si="305"/>
        <v>28800</v>
      </c>
      <c r="T494" s="132">
        <f t="shared" ref="T494:T502" ca="1" si="306">IF(Q494&gt;0,S494*100/Q494,0)</f>
        <v>4.4442729832953978</v>
      </c>
      <c r="U494" s="132">
        <f t="shared" ref="U494:U502" ca="1" si="307">IF(R494&gt;0,S494*100/R494,0)</f>
        <v>4.4442729832953978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648025</v>
      </c>
      <c r="R496" s="46">
        <f t="shared" ca="1" si="309"/>
        <v>648025</v>
      </c>
      <c r="S496" s="46">
        <f t="shared" ca="1" si="309"/>
        <v>28800</v>
      </c>
      <c r="T496" s="46">
        <f t="shared" ca="1" si="306"/>
        <v>4.4442729832953978</v>
      </c>
      <c r="U496" s="46">
        <f t="shared" ca="1" si="307"/>
        <v>4.4442729832953978</v>
      </c>
    </row>
    <row r="497" spans="1:21" ht="18.75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648025</v>
      </c>
      <c r="R497" s="46">
        <f t="shared" ca="1" si="311"/>
        <v>648025</v>
      </c>
      <c r="S497" s="46">
        <f t="shared" ca="1" si="311"/>
        <v>28800</v>
      </c>
      <c r="T497" s="46">
        <f t="shared" ca="1" si="306"/>
        <v>4.4442729832953978</v>
      </c>
      <c r="U497" s="46">
        <f t="shared" ca="1" si="307"/>
        <v>4.4442729832953978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IFERROR(__xludf.DUMMYFUNCTION("IMPORTRANGE(""https://docs.google.com/spreadsheets/d/1ItG2mGa2ceCfYo0BwxsXqNm01IGEUdYcSSLTEv9YCik/edit?usp=sharing"",""เบิกจ่ายกองทุน!X76"")"),648025)</f>
        <v>648025</v>
      </c>
      <c r="R499" s="46">
        <f ca="1">IFERROR(__xludf.DUMMYFUNCTION("IMPORTRANGE(""https://docs.google.com/spreadsheets/d/1ItG2mGa2ceCfYo0BwxsXqNm01IGEUdYcSSLTEv9YCik/edit?usp=sharing"",""เบิกจ่ายกองทุน!Y76"")"),648025)</f>
        <v>648025</v>
      </c>
      <c r="S499" s="46">
        <f ca="1">IFERROR(__xludf.DUMMYFUNCTION("IMPORTRANGE(""https://docs.google.com/spreadsheets/d/1ItG2mGa2ceCfYo0BwxsXqNm01IGEUdYcSSLTEv9YCik/edit?usp=sharing"",""เบิกจ่ายกองทุน!Z76"")"),28800)</f>
        <v>28800</v>
      </c>
      <c r="T499" s="46">
        <f t="shared" ca="1" si="306"/>
        <v>4.4442729832953978</v>
      </c>
      <c r="U499" s="46">
        <f t="shared" ca="1" si="307"/>
        <v>4.4442729832953978</v>
      </c>
    </row>
    <row r="500" spans="1:21" ht="18.75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IFERROR(__xludf.DUMMYFUNCTION("IMPORTRANGE(""https://docs.google.com/spreadsheets/d/1eHaY18a8A9IcSdp1K8H6x8fbOy06t2VsZHhMHf-1x7Y/edit?usp=sharing"",""แผน!GX76"")"),50)</f>
        <v>50</v>
      </c>
      <c r="J504" s="147">
        <f ca="1">IF(AND(J505=I504,J506=I504,J507=I504,J508=I504),I504,0)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IFERROR(__xludf.DUMMYFUNCTION("IMPORTRANGE(""https://docs.google.com/spreadsheets/d/1eHaY18a8A9IcSdp1K8H6x8fbOy06t2VsZHhMHf-1x7Y/edit?usp=sharing"",""แผน!GY76"")"),0)</f>
        <v>0</v>
      </c>
      <c r="J505" s="168">
        <v>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IFERROR(__xludf.DUMMYFUNCTION("IMPORTRANGE(""https://docs.google.com/spreadsheets/d/1eHaY18a8A9IcSdp1K8H6x8fbOy06t2VsZHhMHf-1x7Y/edit?usp=sharing"",""แผน!GZ76"")"),0)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IFERROR(__xludf.DUMMYFUNCTION("IMPORTRANGE(""https://docs.google.com/spreadsheets/d/1eHaY18a8A9IcSdp1K8H6x8fbOy06t2VsZHhMHf-1x7Y/edit?usp=sharing"",""แผน!HA76"")"),0)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IFERROR(__xludf.DUMMYFUNCTION("IMPORTRANGE(""https://docs.google.com/spreadsheets/d/1eHaY18a8A9IcSdp1K8H6x8fbOy06t2VsZHhMHf-1x7Y/edit?usp=sharing"",""แผน!HB76"")"),0)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IFERROR(__xludf.DUMMYFUNCTION("IMPORTRANGE(""https://docs.google.com/spreadsheets/d/1eHaY18a8A9IcSdp1K8H6x8fbOy06t2VsZHhMHf-1x7Y/edit?usp=sharing"",""แผน!HC76"")"),0)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IFERROR(__xludf.DUMMYFUNCTION("IMPORTRANGE(""https://docs.google.com/spreadsheets/d/1-uDff_7J0KD5mKrp0Vvzr7lt3OU09vwQwhkpOPPYv2Y/edit?usp=sharing"",""งบพรบ!FM76"")"),0)</f>
        <v>0</v>
      </c>
      <c r="M519" s="46">
        <f ca="1">IFERROR(__xludf.DUMMYFUNCTION("IMPORTRANGE(""https://docs.google.com/spreadsheets/d/1-uDff_7J0KD5mKrp0Vvzr7lt3OU09vwQwhkpOPPYv2Y/edit?usp=sharing"",""งบพรบ!FR76"")"),0)</f>
        <v>0</v>
      </c>
      <c r="N519" s="46">
        <f ca="1">IFERROR(__xludf.DUMMYFUNCTION("IMPORTRANGE(""https://docs.google.com/spreadsheets/d/1-uDff_7J0KD5mKrp0Vvzr7lt3OU09vwQwhkpOPPYv2Y/edit?usp=sharing"",""งบพรบ!FT76"")"),0)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IFERROR(__xludf.DUMMYFUNCTION("IMPORTRANGE(""https://docs.google.com/spreadsheets/d/1-uDff_7J0KD5mKrp0Vvzr7lt3OU09vwQwhkpOPPYv2Y/edit?usp=sharing"",""งบพรบ!FP76"")"),0)</f>
        <v>0</v>
      </c>
      <c r="M522" s="46">
        <f ca="1">IFERROR(__xludf.DUMMYFUNCTION("IMPORTRANGE(""https://docs.google.com/spreadsheets/d/1-uDff_7J0KD5mKrp0Vvzr7lt3OU09vwQwhkpOPPYv2Y/edit?usp=sharing"",""งบพรบ!FS76"")"),0)</f>
        <v>0</v>
      </c>
      <c r="N522" s="46">
        <f ca="1">IFERROR(__xludf.DUMMYFUNCTION("IMPORTRANGE(""https://docs.google.com/spreadsheets/d/1-uDff_7J0KD5mKrp0Vvzr7lt3OU09vwQwhkpOPPYv2Y/edit?usp=sharing"",""งบพรบ!FU76"")"),0)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50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7300</v>
      </c>
      <c r="R617" s="132">
        <f t="shared" ca="1" si="384"/>
        <v>7300</v>
      </c>
      <c r="S617" s="132">
        <f t="shared" ca="1" si="384"/>
        <v>0</v>
      </c>
      <c r="T617" s="132">
        <f t="shared" ref="T617:T625" ca="1" si="385">IF(Q617&gt;0,S617*100/Q617,0)</f>
        <v>0</v>
      </c>
      <c r="U617" s="132">
        <f t="shared" ref="U617:U625" ca="1" si="386">IF(R617&gt;0,S617*100/R617,0)</f>
        <v>0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7300</v>
      </c>
      <c r="R619" s="46">
        <f t="shared" ca="1" si="388"/>
        <v>7300</v>
      </c>
      <c r="S619" s="46">
        <f t="shared" ca="1" si="388"/>
        <v>0</v>
      </c>
      <c r="T619" s="46">
        <f t="shared" ca="1" si="385"/>
        <v>0</v>
      </c>
      <c r="U619" s="46">
        <f t="shared" ca="1" si="386"/>
        <v>0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7300</v>
      </c>
      <c r="R620" s="46">
        <f t="shared" ca="1" si="390"/>
        <v>7300</v>
      </c>
      <c r="S620" s="46">
        <f t="shared" ca="1" si="390"/>
        <v>0</v>
      </c>
      <c r="T620" s="46">
        <f t="shared" ca="1" si="385"/>
        <v>0</v>
      </c>
      <c r="U620" s="46">
        <f t="shared" ca="1" si="386"/>
        <v>0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IFERROR(__xludf.DUMMYFUNCTION("IMPORTRANGE(""https://docs.google.com/spreadsheets/d/1ItG2mGa2ceCfYo0BwxsXqNm01IGEUdYcSSLTEv9YCik/edit?usp=sharing"",""เบิกจ่ายกองทุน!F76"")"),7300)</f>
        <v>7300</v>
      </c>
      <c r="R622" s="46">
        <f ca="1">IFERROR(__xludf.DUMMYFUNCTION("IMPORTRANGE(""https://docs.google.com/spreadsheets/d/1ItG2mGa2ceCfYo0BwxsXqNm01IGEUdYcSSLTEv9YCik/edit?usp=sharing"",""เบิกจ่ายกองทุน!G76"")"),7300)</f>
        <v>7300</v>
      </c>
      <c r="S622" s="46">
        <f ca="1">IFERROR(__xludf.DUMMYFUNCTION("IMPORTRANGE(""https://docs.google.com/spreadsheets/d/1ItG2mGa2ceCfYo0BwxsXqNm01IGEUdYcSSLTEv9YCik/edit?usp=sharing"",""เบิกจ่ายกองทุน!H76"")"),0)</f>
        <v>0</v>
      </c>
      <c r="T622" s="46">
        <f t="shared" ca="1" si="385"/>
        <v>0</v>
      </c>
      <c r="U622" s="46">
        <f t="shared" ca="1" si="386"/>
        <v>0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IFERROR(__xludf.DUMMYFUNCTION("IMPORTRANGE(""https://docs.google.com/spreadsheets/d/1eHaY18a8A9IcSdp1K8H6x8fbOy06t2VsZHhMHf-1x7Y/edit?usp=sharing"",""แผน!ID76"")"),50)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8">
        <v>0</v>
      </c>
      <c r="K628" s="46">
        <f t="shared" ref="K628:K629" ca="1" si="393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IFERROR(__xludf.DUMMYFUNCTION("IMPORTRANGE(""https://docs.google.com/spreadsheets/d/1eHaY18a8A9IcSdp1K8H6x8fbOy06t2VsZHhMHf-1x7Y/edit?usp=sharing"",""แผน!IC76"")"),1)</f>
        <v>1</v>
      </c>
      <c r="J629" s="168">
        <v>0</v>
      </c>
      <c r="K629" s="46">
        <f t="shared" ca="1" si="393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IFERROR(__xludf.DUMMYFUNCTION("IMPORTRANGE(""https://docs.google.com/spreadsheets/d/1eHaY18a8A9IcSdp1K8H6x8fbOy06t2VsZHhMHf-1x7Y/edit?usp=sharing"",""แผน!IE76"")"),0)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IFERROR(__xludf.DUMMYFUNCTION("IMPORTRANGE(""https://docs.google.com/spreadsheets/d/1ItG2mGa2ceCfYo0BwxsXqNm01IGEUdYcSSLTEv9YCik/edit?usp=sharing"",""เบิกจ่ายกองทุน!I76"")"),0)</f>
        <v>0</v>
      </c>
      <c r="R648" s="46">
        <f ca="1">IFERROR(__xludf.DUMMYFUNCTION("IMPORTRANGE(""https://docs.google.com/spreadsheets/d/1ItG2mGa2ceCfYo0BwxsXqNm01IGEUdYcSSLTEv9YCik/edit?usp=sharing"",""เบิกจ่ายกองทุน!J76"")"),0)</f>
        <v>0</v>
      </c>
      <c r="S648" s="46">
        <f ca="1">IFERROR(__xludf.DUMMYFUNCTION("IMPORTRANGE(""https://docs.google.com/spreadsheets/d/1ItG2mGa2ceCfYo0BwxsXqNm01IGEUdYcSSLTEv9YCik/edit?usp=sharing"",""เบิกจ่ายกองทุน!K76"")"),0)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IFERROR(__xludf.DUMMYFUNCTION("IMPORTRANGE(""https://docs.google.com/spreadsheets/d/1eHaY18a8A9IcSdp1K8H6x8fbOy06t2VsZHhMHf-1x7Y/edit?usp=sharing"",""แผน!IF76"")"),0)</f>
        <v>0</v>
      </c>
      <c r="J653" s="152">
        <f ca="1">IFERROR(__xludf.DUMMYFUNCTION("IMPORTRANGE(""https://docs.google.com/spreadsheets/d/1tdoBKaGub7dwA3U6UFTqxio9LNnvDCQjHKmttSEBsFQ/edit?usp=sharing"",""จัดที่ดิน!AU76"")"),0)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IFERROR(__xludf.DUMMYFUNCTION("IMPORTRANGE(""https://docs.google.com/spreadsheets/d/1eHaY18a8A9IcSdp1K8H6x8fbOy06t2VsZHhMHf-1x7Y/edit?usp=sharing"",""แผน!IG76"")"),0)</f>
        <v>0</v>
      </c>
      <c r="J654" s="152">
        <f ca="1">IFERROR(__xludf.DUMMYFUNCTION("IMPORTRANGE(""https://docs.google.com/spreadsheets/d/1tdoBKaGub7dwA3U6UFTqxio9LNnvDCQjHKmttSEBsFQ/edit?usp=sharing"",""จัดที่ดิน!AW76"")"),0)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IFERROR(__xludf.DUMMYFUNCTION("IMPORTRANGE(""https://docs.google.com/spreadsheets/d/1eHaY18a8A9IcSdp1K8H6x8fbOy06t2VsZHhMHf-1x7Y/edit?usp=sharing"",""แผน!IH76"")"),0)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IFERROR(__xludf.DUMMYFUNCTION("IMPORTRANGE(""https://docs.google.com/spreadsheets/d/1eHaY18a8A9IcSdp1K8H6x8fbOy06t2VsZHhMHf-1x7Y/edit?usp=sharing"",""แผน!II76"")"),0)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IFERROR(__xludf.DUMMYFUNCTION("IMPORTRANGE(""https://docs.google.com/spreadsheets/d/1eHaY18a8A9IcSdp1K8H6x8fbOy06t2VsZHhMHf-1x7Y/edit?usp=sharing"",""แผน!IJ76"")"),0)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IFERROR(__xludf.DUMMYFUNCTION("IMPORTRANGE(""https://docs.google.com/spreadsheets/d/1eHaY18a8A9IcSdp1K8H6x8fbOy06t2VsZHhMHf-1x7Y/edit?usp=sharing"",""แผน!IK76"")"),0)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IFERROR(__xludf.DUMMYFUNCTION("IMPORTRANGE(""https://docs.google.com/spreadsheets/d/1tdoBKaGub7dwA3U6UFTqxio9LNnvDCQjHKmttSEBsFQ/edit?usp=sharing"",""จัดที่ดิน!AY76"")"),0)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IFERROR(__xludf.DUMMYFUNCTION("IMPORTRANGE(""https://docs.google.com/spreadsheets/d/1tdoBKaGub7dwA3U6UFTqxio9LNnvDCQjHKmttSEBsFQ/edit?usp=sharing"",""จัดที่ดิน!AZ76"")"),0)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IFERROR(__xludf.DUMMYFUNCTION("IMPORTRANGE(""https://docs.google.com/spreadsheets/d/1eHaY18a8A9IcSdp1K8H6x8fbOy06t2VsZHhMHf-1x7Y/edit?usp=sharing"",""แผน!IL76"")"),0)</f>
        <v>0</v>
      </c>
      <c r="J674" s="152">
        <f ca="1">IFERROR(__xludf.DUMMYFUNCTION("IMPORTRANGE(""https://docs.google.com/spreadsheets/d/1tdoBKaGub7dwA3U6UFTqxio9LNnvDCQjHKmttSEBsFQ/edit?usp=sharing"",""จัดที่ดิน!BA76"")"),0)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IFERROR(__xludf.DUMMYFUNCTION("IMPORTRANGE(""https://docs.google.com/spreadsheets/d/1eHaY18a8A9IcSdp1K8H6x8fbOy06t2VsZHhMHf-1x7Y/edit?usp=sharing"",""แผน!IM76"")"),0)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IFERROR(__xludf.DUMMYFUNCTION("IMPORTRANGE(""https://docs.google.com/spreadsheets/d/1eHaY18a8A9IcSdp1K8H6x8fbOy06t2VsZHhMHf-1x7Y/edit?usp=sharing"",""แผน!IN76"")"),0)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IFERROR(__xludf.DUMMYFUNCTION("IMPORTRANGE(""https://docs.google.com/spreadsheets/d/1eHaY18a8A9IcSdp1K8H6x8fbOy06t2VsZHhMHf-1x7Y/edit?usp=sharing"",""แผน!IO76"")"),0)</f>
        <v>0</v>
      </c>
      <c r="J677" s="152">
        <f ca="1">IFERROR(__xludf.DUMMYFUNCTION("IMPORTRANGE(""https://docs.google.com/spreadsheets/d/1tdoBKaGub7dwA3U6UFTqxio9LNnvDCQjHKmttSEBsFQ/edit?usp=sharing"",""จัดที่ดิน!BF76"")"),0)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IFERROR(__xludf.DUMMYFUNCTION("IMPORTRANGE(""https://docs.google.com/spreadsheets/d/1tdoBKaGub7dwA3U6UFTqxio9LNnvDCQjHKmttSEBsFQ/edit?usp=sharing"",""จัดที่ดิน!BG76"")"),0)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IFERROR(__xludf.DUMMYFUNCTION("IMPORTRANGE(""https://docs.google.com/spreadsheets/d/1eHaY18a8A9IcSdp1K8H6x8fbOy06t2VsZHhMHf-1x7Y/edit?usp=sharing"",""แผน!IP76"")"),0)</f>
        <v>0</v>
      </c>
      <c r="J679" s="152">
        <f ca="1">IFERROR(__xludf.DUMMYFUNCTION("IMPORTRANGE(""https://docs.google.com/spreadsheets/d/1tdoBKaGub7dwA3U6UFTqxio9LNnvDCQjHKmttSEBsFQ/edit?usp=sharing"",""จัดที่ดิน!BH76"")"),0)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IFERROR(__xludf.DUMMYFUNCTION("IMPORTRANGE(""https://docs.google.com/spreadsheets/d/1eHaY18a8A9IcSdp1K8H6x8fbOy06t2VsZHhMHf-1x7Y/edit?usp=sharing"",""แผน!IQ76"")"),0)</f>
        <v>0</v>
      </c>
      <c r="J680" s="152">
        <f ca="1">IFERROR(__xludf.DUMMYFUNCTION("IMPORTRANGE(""https://docs.google.com/spreadsheets/d/1tdoBKaGub7dwA3U6UFTqxio9LNnvDCQjHKmttSEBsFQ/edit?usp=sharing"",""จัดที่ดิน!BK76"")"),0)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IFERROR(__xludf.DUMMYFUNCTION("IMPORTRANGE(""https://docs.google.com/spreadsheets/d/1tdoBKaGub7dwA3U6UFTqxio9LNnvDCQjHKmttSEBsFQ/edit?usp=sharing"",""จัดที่ดิน!BL76"")"),0)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IFERROR(__xludf.DUMMYFUNCTION("IMPORTRANGE(""https://docs.google.com/spreadsheets/d/1eHaY18a8A9IcSdp1K8H6x8fbOy06t2VsZHhMHf-1x7Y/edit?usp=sharing"",""แผน!IR76"")"),0)</f>
        <v>0</v>
      </c>
      <c r="J682" s="152">
        <f ca="1">IFERROR(__xludf.DUMMYFUNCTION("IMPORTRANGE(""https://docs.google.com/spreadsheets/d/1tdoBKaGub7dwA3U6UFTqxio9LNnvDCQjHKmttSEBsFQ/edit?usp=sharing"",""จัดที่ดิน!BM76"")"),0)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IFERROR(__xludf.DUMMYFUNCTION("IMPORTRANGE(""https://docs.google.com/spreadsheets/d/1eHaY18a8A9IcSdp1K8H6x8fbOy06t2VsZHhMHf-1x7Y/edit?usp=sharing"",""แผน!IS76"")"),0)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65890</v>
      </c>
      <c r="R691" s="132">
        <f t="shared" ca="1" si="415"/>
        <v>65890</v>
      </c>
      <c r="S691" s="132">
        <f t="shared" ca="1" si="415"/>
        <v>0</v>
      </c>
      <c r="T691" s="132">
        <f t="shared" ref="T691:T699" ca="1" si="416">IF(Q691&gt;0,S691*100/Q691,0)</f>
        <v>0</v>
      </c>
      <c r="U691" s="132">
        <f t="shared" ref="U691:U699" ca="1" si="417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65890</v>
      </c>
      <c r="R693" s="46">
        <f t="shared" ca="1" si="419"/>
        <v>65890</v>
      </c>
      <c r="S693" s="46">
        <f t="shared" ca="1" si="419"/>
        <v>0</v>
      </c>
      <c r="T693" s="46">
        <f t="shared" ca="1" si="416"/>
        <v>0</v>
      </c>
      <c r="U693" s="46">
        <f t="shared" ca="1" si="417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65890</v>
      </c>
      <c r="R694" s="46">
        <f t="shared" ca="1" si="421"/>
        <v>65890</v>
      </c>
      <c r="S694" s="46">
        <f t="shared" ca="1" si="421"/>
        <v>0</v>
      </c>
      <c r="T694" s="46">
        <f t="shared" ca="1" si="416"/>
        <v>0</v>
      </c>
      <c r="U694" s="46">
        <f t="shared" ca="1" si="417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6" s="46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6" s="46">
        <f ca="1">IFERROR(__xludf.DUMMYFUNCTION("IMPORTRANGE(""https://docs.google.com/spreadsheets/d/1ItG2mGa2ceCfYo0BwxsXqNm01IGEUdYcSSLTEv9YCik/edit?usp=sharing"",""เบิกจ่ายกองทุน!N76"")"),0)</f>
        <v>0</v>
      </c>
      <c r="T696" s="46">
        <f t="shared" ca="1" si="416"/>
        <v>0</v>
      </c>
      <c r="U696" s="46">
        <f t="shared" ca="1" si="417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IFERROR(__xludf.DUMMYFUNCTION("IMPORTRANGE(""https://docs.google.com/spreadsheets/d/1eHaY18a8A9IcSdp1K8H6x8fbOy06t2VsZHhMHf-1x7Y/edit?usp=sharing"",""แผน!LC76"")"),0)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5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IFERROR(__xludf.DUMMYFUNCTION("IMPORTRANGE(""https://docs.google.com/spreadsheets/d/1eHaY18a8A9IcSdp1K8H6x8fbOy06t2VsZHhMHf-1x7Y/edit?usp=sharing"",""แผน!LJ76"")"),0)</f>
        <v>0</v>
      </c>
      <c r="J704" s="152">
        <f ca="1">IFERROR(__xludf.DUMMYFUNCTION("IMPORTRANGE(""https://docs.google.com/spreadsheets/d/1tdoBKaGub7dwA3U6UFTqxio9LNnvDCQjHKmttSEBsFQ/edit?usp=sharing"",""จัดที่ดิน!AP76"")"),0)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IFERROR(__xludf.DUMMYFUNCTION("IMPORTRANGE(""https://docs.google.com/spreadsheets/d/1tdoBKaGub7dwA3U6UFTqxio9LNnvDCQjHKmttSEBsFQ/edit?usp=sharing"",""จัดที่ดิน!AQ76"")"),0)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IFERROR(__xludf.DUMMYFUNCTION("IMPORTRANGE(""https://docs.google.com/spreadsheets/d/1eHaY18a8A9IcSdp1K8H6x8fbOy06t2VsZHhMHf-1x7Y/edit?usp=sharing"",""แผน!LK76"")"),5)</f>
        <v>5</v>
      </c>
      <c r="J706" s="152">
        <f ca="1">IFERROR(__xludf.DUMMYFUNCTION("IMPORTRANGE(""https://docs.google.com/spreadsheets/d/1tdoBKaGub7dwA3U6UFTqxio9LNnvDCQjHKmttSEBsFQ/edit?usp=sharing"",""จัดที่ดิน!AR76"")"),0)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IFERROR(__xludf.DUMMYFUNCTION("IMPORTRANGE(""https://docs.google.com/spreadsheets/d/1tdoBKaGub7dwA3U6UFTqxio9LNnvDCQjHKmttSEBsFQ/edit?usp=sharing"",""จัดที่ดิน!AS76"")"),0)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IFERROR(__xludf.DUMMYFUNCTION("IMPORTRANGE(""https://docs.google.com/spreadsheets/d/1eHaY18a8A9IcSdp1K8H6x8fbOy06t2VsZHhMHf-1x7Y/edit?usp=sharing"",""แผน!LJ76"")"),0)</f>
        <v>0</v>
      </c>
      <c r="J708" s="152">
        <f ca="1">IFERROR(__xludf.DUMMYFUNCTION("IMPORTRANGE(""https://docs.google.com/spreadsheets/d/1tdoBKaGub7dwA3U6UFTqxio9LNnvDCQjHKmttSEBsFQ/edit?usp=sharing"",""จัดที่ดิน!BN76"")"),0)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IFERROR(__xludf.DUMMYFUNCTION("IMPORTRANGE(""https://docs.google.com/spreadsheets/d/1tdoBKaGub7dwA3U6UFTqxio9LNnvDCQjHKmttSEBsFQ/edit?usp=sharing"",""จัดที่ดิน!BO76"")"),0)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IFERROR(__xludf.DUMMYFUNCTION("IMPORTRANGE(""https://docs.google.com/spreadsheets/d/1eHaY18a8A9IcSdp1K8H6x8fbOy06t2VsZHhMHf-1x7Y/edit?usp=sharing"",""แผน!LK76"")"),5)</f>
        <v>5</v>
      </c>
      <c r="J710" s="152">
        <f ca="1">IFERROR(__xludf.DUMMYFUNCTION("IMPORTRANGE(""https://docs.google.com/spreadsheets/d/1tdoBKaGub7dwA3U6UFTqxio9LNnvDCQjHKmttSEBsFQ/edit?usp=sharing"",""จัดที่ดิน!BP76"")"),0)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IFERROR(__xludf.DUMMYFUNCTION("IMPORTRANGE(""https://docs.google.com/spreadsheets/d/1tdoBKaGub7dwA3U6UFTqxio9LNnvDCQjHKmttSEBsFQ/edit?usp=sharing"",""จัดที่ดิน!BQ76"")"),0)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IFERROR(__xludf.DUMMYFUNCTION("IMPORTRANGE(""https://docs.google.com/spreadsheets/d/1eHaY18a8A9IcSdp1K8H6x8fbOy06t2VsZHhMHf-1x7Y/edit?usp=sharing"",""แผน!GA76"")"),21)</f>
        <v>21</v>
      </c>
      <c r="J727" s="448">
        <f>J743+J747+J750</f>
        <v>0</v>
      </c>
      <c r="K727" s="449">
        <f t="shared" ref="K727:K728" ca="1" si="438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IFERROR(__xludf.DUMMYFUNCTION("IMPORTRANGE(""https://docs.google.com/spreadsheets/d/1eHaY18a8A9IcSdp1K8H6x8fbOy06t2VsZHhMHf-1x7Y/edit?usp=sharing"",""แผน!FZ76"")"),200)</f>
        <v>200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175994</v>
      </c>
      <c r="R729" s="132">
        <f t="shared" ca="1" si="442"/>
        <v>200494</v>
      </c>
      <c r="S729" s="132">
        <f t="shared" ca="1" si="442"/>
        <v>23130</v>
      </c>
      <c r="T729" s="132">
        <f t="shared" ref="T729:T737" ca="1" si="443">IF(Q729&gt;0,S729*100/Q729,0)</f>
        <v>13.14249349409639</v>
      </c>
      <c r="U729" s="132">
        <f t="shared" ref="U729:U737" ca="1" si="444">IF(R729&gt;0,S729*100/R729,0)</f>
        <v>11.536504833062336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175994</v>
      </c>
      <c r="R731" s="46">
        <f t="shared" ca="1" si="446"/>
        <v>200494</v>
      </c>
      <c r="S731" s="46">
        <f t="shared" ca="1" si="446"/>
        <v>23130</v>
      </c>
      <c r="T731" s="46">
        <f t="shared" ca="1" si="443"/>
        <v>13.14249349409639</v>
      </c>
      <c r="U731" s="46">
        <f t="shared" ca="1" si="444"/>
        <v>11.536504833062336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175994</v>
      </c>
      <c r="R732" s="46">
        <f t="shared" ca="1" si="448"/>
        <v>200494</v>
      </c>
      <c r="S732" s="46">
        <f t="shared" ca="1" si="448"/>
        <v>23130</v>
      </c>
      <c r="T732" s="46">
        <f t="shared" ca="1" si="443"/>
        <v>13.14249349409639</v>
      </c>
      <c r="U732" s="46">
        <f t="shared" ca="1" si="444"/>
        <v>11.536504833062336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4" s="46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4" s="46">
        <f ca="1">IFERROR(__xludf.DUMMYFUNCTION("IMPORTRANGE(""https://docs.google.com/spreadsheets/d/1ItG2mGa2ceCfYo0BwxsXqNm01IGEUdYcSSLTEv9YCik/edit?usp=sharing"",""เบิกจ่ายกองทุน!Q76"")"),23130)</f>
        <v>23130</v>
      </c>
      <c r="T734" s="46">
        <f t="shared" ca="1" si="443"/>
        <v>13.14249349409639</v>
      </c>
      <c r="U734" s="46">
        <f t="shared" ca="1" si="444"/>
        <v>11.536504833062336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IFERROR(__xludf.DUMMYFUNCTION("IMPORTRANGE(""https://docs.google.com/spreadsheets/d/1eHaY18a8A9IcSdp1K8H6x8fbOy06t2VsZHhMHf-1x7Y/edit?usp=sharing"",""แผน!GB76"")"),160)</f>
        <v>160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IFERROR(__xludf.DUMMYFUNCTION("IMPORTRANGE(""https://docs.google.com/spreadsheets/d/1eHaY18a8A9IcSdp1K8H6x8fbOy06t2VsZHhMHf-1x7Y/edit?usp=sharing"",""แผน!GC76"")"),16)</f>
        <v>16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IFERROR(__xludf.DUMMYFUNCTION("IMPORTRANGE(""https://docs.google.com/spreadsheets/d/1eHaY18a8A9IcSdp1K8H6x8fbOy06t2VsZHhMHf-1x7Y/edit?usp=sharing"",""แผน!GD76"")"),40)</f>
        <v>40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IFERROR(__xludf.DUMMYFUNCTION("IMPORTRANGE(""https://docs.google.com/spreadsheets/d/1eHaY18a8A9IcSdp1K8H6x8fbOy06t2VsZHhMHf-1x7Y/edit?usp=sharing"",""แผน!GE76"")"),4)</f>
        <v>4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IFERROR(__xludf.DUMMYFUNCTION("IMPORTRANGE(""https://docs.google.com/spreadsheets/d/1eHaY18a8A9IcSdp1K8H6x8fbOy06t2VsZHhMHf-1x7Y/edit?usp=sharing"",""แผน!GF76"")"),1)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IFERROR(__xludf.DUMMYFUNCTION("IMPORTRANGE(""https://docs.google.com/spreadsheets/d/1eHaY18a8A9IcSdp1K8H6x8fbOy06t2VsZHhMHf-1x7Y/edit?usp=sharing"",""แผน!GB76"")"),160)</f>
        <v>160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IFERROR(__xludf.DUMMYFUNCTION("IMPORTRANGE(""https://docs.google.com/spreadsheets/d/1eHaY18a8A9IcSdp1K8H6x8fbOy06t2VsZHhMHf-1x7Y/edit?usp=sharing"",""แผน!GD76"")"),40)</f>
        <v>40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40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200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463980</v>
      </c>
      <c r="R761" s="132">
        <f t="shared" ca="1" si="457"/>
        <v>463980</v>
      </c>
      <c r="S761" s="132">
        <f t="shared" ca="1" si="457"/>
        <v>35220</v>
      </c>
      <c r="T761" s="132">
        <f t="shared" ref="T761:T769" ca="1" si="458">IF(Q761&gt;0,S761*100/Q761,0)</f>
        <v>7.5908444329496962</v>
      </c>
      <c r="U761" s="132">
        <f t="shared" ref="U761:U769" ca="1" si="459">IF(R761&gt;0,S761*100/R761,0)</f>
        <v>7.5908444329496962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463980</v>
      </c>
      <c r="R763" s="46">
        <f t="shared" ca="1" si="461"/>
        <v>463980</v>
      </c>
      <c r="S763" s="46">
        <f t="shared" ca="1" si="461"/>
        <v>35220</v>
      </c>
      <c r="T763" s="46">
        <f t="shared" ca="1" si="458"/>
        <v>7.5908444329496962</v>
      </c>
      <c r="U763" s="46">
        <f t="shared" ca="1" si="459"/>
        <v>7.5908444329496962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463980</v>
      </c>
      <c r="R764" s="46">
        <f t="shared" ca="1" si="463"/>
        <v>463980</v>
      </c>
      <c r="S764" s="46">
        <f t="shared" ca="1" si="463"/>
        <v>35220</v>
      </c>
      <c r="T764" s="46">
        <f t="shared" ca="1" si="458"/>
        <v>7.5908444329496962</v>
      </c>
      <c r="U764" s="46">
        <f t="shared" ca="1" si="459"/>
        <v>7.5908444329496962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IFERROR(__xludf.DUMMYFUNCTION("IMPORTRANGE(""https://docs.google.com/spreadsheets/d/1ItG2mGa2ceCfYo0BwxsXqNm01IGEUdYcSSLTEv9YCik/edit?usp=sharing"",""เบิกจ่ายกองทุน!U76"")"),463980)</f>
        <v>463980</v>
      </c>
      <c r="R766" s="46">
        <f ca="1">IFERROR(__xludf.DUMMYFUNCTION("IMPORTRANGE(""https://docs.google.com/spreadsheets/d/1ItG2mGa2ceCfYo0BwxsXqNm01IGEUdYcSSLTEv9YCik/edit?usp=sharing"",""เบิกจ่ายกองทุน!V76"")"),463980)</f>
        <v>463980</v>
      </c>
      <c r="S766" s="46">
        <f ca="1">IFERROR(__xludf.DUMMYFUNCTION("IMPORTRANGE(""https://docs.google.com/spreadsheets/d/1ItG2mGa2ceCfYo0BwxsXqNm01IGEUdYcSSLTEv9YCik/edit?usp=sharing"",""เบิกจ่ายกองทุน!W76"")"),35220)</f>
        <v>35220</v>
      </c>
      <c r="T766" s="46">
        <f t="shared" ca="1" si="458"/>
        <v>7.5908444329496962</v>
      </c>
      <c r="U766" s="46">
        <f t="shared" ca="1" si="459"/>
        <v>7.5908444329496962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IFERROR(__xludf.DUMMYFUNCTION("IMPORTRANGE(""https://docs.google.com/spreadsheets/d/1eHaY18a8A9IcSdp1K8H6x8fbOy06t2VsZHhMHf-1x7Y/edit?usp=sharing"",""แผน!FI76"")"),0)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IFERROR(__xludf.DUMMYFUNCTION("IMPORTRANGE(""https://docs.google.com/spreadsheets/d/1eHaY18a8A9IcSdp1K8H6x8fbOy06t2VsZHhMHf-1x7Y/edit?usp=sharing"",""แผน!FQ76"")"),40)</f>
        <v>40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IFERROR(__xludf.DUMMYFUNCTION("IMPORTRANGE(""https://docs.google.com/spreadsheets/d/1eHaY18a8A9IcSdp1K8H6x8fbOy06t2VsZHhMHf-1x7Y/edit?usp=sharing"",""แผน!FR76"")"),200)</f>
        <v>200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IFERROR(__xludf.DUMMYFUNCTION("IMPORTRANGE(""https://docs.google.com/spreadsheets/d/1eHaY18a8A9IcSdp1K8H6x8fbOy06t2VsZHhMHf-1x7Y/edit?usp=sharing"",""แผน!FS76"")"),200)</f>
        <v>200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IFERROR(__xludf.DUMMYFUNCTION("IMPORTRANGE(""https://docs.google.com/spreadsheets/d/1eHaY18a8A9IcSdp1K8H6x8fbOy06t2VsZHhMHf-1x7Y/edit?usp=sharing"",""แผน!FT76"")"),40)</f>
        <v>40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IFERROR(__xludf.DUMMYFUNCTION("IMPORTRANGE(""https://docs.google.com/spreadsheets/d/10OvvATaaLtwErnr3qtWFcTmtbfpFEt5Bsqel9sXx0uE/edit?usp=sharing"",""งานกองทุน!D76"")"),1026666.03)</f>
        <v>1026666.03</v>
      </c>
      <c r="J779" s="152">
        <f ca="1">IFERROR(__xludf.DUMMYFUNCTION("IMPORTRANGE(""https://docs.google.com/spreadsheets/d/10OvvATaaLtwErnr3qtWFcTmtbfpFEt5Bsqel9sXx0uE/edit?usp=sharing"",""งานกองทุน!F76"")"),77379.74)</f>
        <v>77379.740000000005</v>
      </c>
      <c r="K779" s="46">
        <f t="shared" ref="K779:K786" ca="1" si="466">IF(I779&gt;0,J779*100/I779,0)</f>
        <v>7.5369923362517417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IFERROR(__xludf.DUMMYFUNCTION("IMPORTRANGE(""https://docs.google.com/spreadsheets/d/10OvvATaaLtwErnr3qtWFcTmtbfpFEt5Bsqel9sXx0uE/edit?usp=sharing"",""งานกองทุน!C76"")"),103)</f>
        <v>103</v>
      </c>
      <c r="J780" s="152">
        <f ca="1">IFERROR(__xludf.DUMMYFUNCTION("IMPORTRANGE(""https://docs.google.com/spreadsheets/d/10OvvATaaLtwErnr3qtWFcTmtbfpFEt5Bsqel9sXx0uE/edit?usp=sharing"",""งานกองทุน!E76"")"),10)</f>
        <v>10</v>
      </c>
      <c r="K780" s="46">
        <f t="shared" ca="1" si="466"/>
        <v>9.7087378640776691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1" s="152">
        <f ca="1">IFERROR(__xludf.DUMMYFUNCTION("IMPORTRANGE(""https://docs.google.com/spreadsheets/d/10OvvATaaLtwErnr3qtWFcTmtbfpFEt5Bsqel9sXx0uE/edit?usp=sharing"",""งานกองทุน!K76"")"),91497.49)</f>
        <v>91497.49</v>
      </c>
      <c r="K781" s="46">
        <f t="shared" ca="1" si="466"/>
        <v>23.169875297070007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IFERROR(__xludf.DUMMYFUNCTION("IMPORTRANGE(""https://docs.google.com/spreadsheets/d/10OvvATaaLtwErnr3qtWFcTmtbfpFEt5Bsqel9sXx0uE/edit?usp=sharing"",""งานกองทุน!H76"")"),17)</f>
        <v>17</v>
      </c>
      <c r="J782" s="152">
        <f ca="1">IFERROR(__xludf.DUMMYFUNCTION("IMPORTRANGE(""https://docs.google.com/spreadsheets/d/10OvvATaaLtwErnr3qtWFcTmtbfpFEt5Bsqel9sXx0uE/edit?usp=sharing"",""งานกองทุน!J76"")"),6)</f>
        <v>6</v>
      </c>
      <c r="K782" s="46">
        <f t="shared" ca="1" si="466"/>
        <v>35.294117647058826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IFERROR(__xludf.DUMMYFUNCTION("IMPORTRANGE(""https://docs.google.com/spreadsheets/d/10OvvATaaLtwErnr3qtWFcTmtbfpFEt5Bsqel9sXx0uE/edit?usp=sharing"",""งานกองทุน!N76"")"),0)</f>
        <v>0</v>
      </c>
      <c r="J783" s="152">
        <f ca="1">IFERROR(__xludf.DUMMYFUNCTION("IMPORTRANGE(""https://docs.google.com/spreadsheets/d/10OvvATaaLtwErnr3qtWFcTmtbfpFEt5Bsqel9sXx0uE/edit?usp=sharing"",""งานกองทุน!P76"")"),0)</f>
        <v>0</v>
      </c>
      <c r="K783" s="46">
        <f t="shared" ca="1" si="466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IFERROR(__xludf.DUMMYFUNCTION("IMPORTRANGE(""https://docs.google.com/spreadsheets/d/10OvvATaaLtwErnr3qtWFcTmtbfpFEt5Bsqel9sXx0uE/edit?usp=sharing"",""งานกองทุน!M76"")"),0)</f>
        <v>0</v>
      </c>
      <c r="J784" s="152">
        <f ca="1">IFERROR(__xludf.DUMMYFUNCTION("IMPORTRANGE(""https://docs.google.com/spreadsheets/d/10OvvATaaLtwErnr3qtWFcTmtbfpFEt5Bsqel9sXx0uE/edit?usp=sharing"",""งานกองทุน!O76"")"),0)</f>
        <v>0</v>
      </c>
      <c r="K784" s="46">
        <f t="shared" ca="1" si="466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IFERROR(__xludf.DUMMYFUNCTION("IMPORTRANGE(""https://docs.google.com/spreadsheets/d/10OvvATaaLtwErnr3qtWFcTmtbfpFEt5Bsqel9sXx0uE/edit?usp=sharing"",""งานกองทุน!S76"")"),2016000)</f>
        <v>2016000</v>
      </c>
      <c r="J785" s="152">
        <f ca="1">IFERROR(__xludf.DUMMYFUNCTION("IMPORTRANGE(""https://docs.google.com/spreadsheets/d/10OvvATaaLtwErnr3qtWFcTmtbfpFEt5Bsqel9sXx0uE/edit?usp=sharing"",""งานกองทุน!U76"")"),0)</f>
        <v>0</v>
      </c>
      <c r="K785" s="46">
        <f t="shared" ca="1" si="466"/>
        <v>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IFERROR(__xludf.DUMMYFUNCTION("IMPORTRANGE(""https://docs.google.com/spreadsheets/d/10OvvATaaLtwErnr3qtWFcTmtbfpFEt5Bsqel9sXx0uE/edit?usp=sharing"",""งานกองทุน!R76"")"),72)</f>
        <v>72</v>
      </c>
      <c r="J786" s="204">
        <f ca="1">IFERROR(__xludf.DUMMYFUNCTION("IMPORTRANGE(""https://docs.google.com/spreadsheets/d/10OvvATaaLtwErnr3qtWFcTmtbfpFEt5Bsqel9sXx0uE/edit?usp=sharing"",""งานกองทุน!T76"")"),0)</f>
        <v>0</v>
      </c>
      <c r="K786" s="110">
        <f t="shared" ca="1" si="466"/>
        <v>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511A3-9530-4632-81AD-6445183F23E2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6" width="12.5703125" bestFit="1" customWidth="1"/>
    <col min="17" max="17" width="21.28515625" bestFit="1" customWidth="1"/>
    <col min="18" max="18" width="18.7109375" bestFit="1" customWidth="1"/>
    <col min="19" max="19" width="16.855468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313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1510550</v>
      </c>
      <c r="M19" s="34">
        <f t="shared" ca="1" si="0"/>
        <v>1538450</v>
      </c>
      <c r="N19" s="34">
        <f t="shared" ca="1" si="0"/>
        <v>1236829.3799999999</v>
      </c>
      <c r="O19" s="34">
        <f t="shared" ref="O19:O27" ca="1" si="1">IF(L19&gt;0,N19*100/L19,0)</f>
        <v>81.879406838568727</v>
      </c>
      <c r="P19" s="34">
        <f t="shared" ref="P19:P27" ca="1" si="2">IF(M19&gt;0,N19*100/M19,0)</f>
        <v>80.394512658844931</v>
      </c>
      <c r="Q19" s="34">
        <f t="shared" ref="Q19:S19" ca="1" si="3">Q20+Q21</f>
        <v>1010852.17</v>
      </c>
      <c r="R19" s="34">
        <f t="shared" ca="1" si="3"/>
        <v>948352</v>
      </c>
      <c r="S19" s="34">
        <f t="shared" ca="1" si="3"/>
        <v>71725</v>
      </c>
      <c r="T19" s="34">
        <f t="shared" ref="T19:T27" ca="1" si="4">IF(Q19&gt;0,S19*100/Q19,0)</f>
        <v>7.0954984446439875</v>
      </c>
      <c r="U19" s="34">
        <f t="shared" ref="U19:U27" ca="1" si="5">IF(R19&gt;0,S19*100/R19,0)</f>
        <v>7.5631200229450668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1510550</v>
      </c>
      <c r="M21" s="38">
        <f t="shared" ca="1" si="6"/>
        <v>1538450</v>
      </c>
      <c r="N21" s="38">
        <f t="shared" ca="1" si="6"/>
        <v>1236829.3799999999</v>
      </c>
      <c r="O21" s="38">
        <f t="shared" ca="1" si="1"/>
        <v>81.879406838568727</v>
      </c>
      <c r="P21" s="38">
        <f t="shared" ca="1" si="2"/>
        <v>80.394512658844931</v>
      </c>
      <c r="Q21" s="38">
        <f t="shared" ca="1" si="7"/>
        <v>1010852.17</v>
      </c>
      <c r="R21" s="38">
        <f t="shared" ca="1" si="7"/>
        <v>948352</v>
      </c>
      <c r="S21" s="38">
        <f t="shared" ca="1" si="7"/>
        <v>71725</v>
      </c>
      <c r="T21" s="38">
        <f t="shared" ca="1" si="4"/>
        <v>7.0954984446439875</v>
      </c>
      <c r="U21" s="38">
        <f t="shared" ca="1" si="5"/>
        <v>7.5631200229450668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1510550</v>
      </c>
      <c r="M22" s="46">
        <f t="shared" ca="1" si="8"/>
        <v>1538450</v>
      </c>
      <c r="N22" s="46">
        <f t="shared" ca="1" si="8"/>
        <v>1236829.3799999999</v>
      </c>
      <c r="O22" s="46">
        <f t="shared" ca="1" si="1"/>
        <v>81.879406838568727</v>
      </c>
      <c r="P22" s="46">
        <f t="shared" ca="1" si="2"/>
        <v>80.394512658844931</v>
      </c>
      <c r="Q22" s="46">
        <f t="shared" ref="Q22:S22" ca="1" si="9">Q23+Q24</f>
        <v>1010852.17</v>
      </c>
      <c r="R22" s="46">
        <f t="shared" ca="1" si="9"/>
        <v>948352</v>
      </c>
      <c r="S22" s="46">
        <f t="shared" ca="1" si="9"/>
        <v>71725</v>
      </c>
      <c r="T22" s="46">
        <f t="shared" ca="1" si="4"/>
        <v>7.0954984446439875</v>
      </c>
      <c r="U22" s="46">
        <f t="shared" ca="1" si="5"/>
        <v>7.5631200229450668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1510550</v>
      </c>
      <c r="M24" s="46">
        <f t="shared" ca="1" si="10"/>
        <v>1538450</v>
      </c>
      <c r="N24" s="46">
        <f t="shared" ca="1" si="10"/>
        <v>1236829.3799999999</v>
      </c>
      <c r="O24" s="46">
        <f t="shared" ca="1" si="1"/>
        <v>81.879406838568727</v>
      </c>
      <c r="P24" s="46">
        <f t="shared" ca="1" si="2"/>
        <v>80.394512658844931</v>
      </c>
      <c r="Q24" s="46">
        <f t="shared" ca="1" si="11"/>
        <v>1010852.17</v>
      </c>
      <c r="R24" s="46">
        <f t="shared" ca="1" si="11"/>
        <v>948352</v>
      </c>
      <c r="S24" s="46">
        <f t="shared" ca="1" si="11"/>
        <v>71725</v>
      </c>
      <c r="T24" s="46">
        <f t="shared" ca="1" si="4"/>
        <v>7.0954984446439875</v>
      </c>
      <c r="U24" s="46">
        <f t="shared" ca="1" si="5"/>
        <v>7.5631200229450668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1510550</v>
      </c>
      <c r="M41" s="525">
        <f t="shared" ca="1" si="16"/>
        <v>1538450</v>
      </c>
      <c r="N41" s="525">
        <f t="shared" ca="1" si="16"/>
        <v>1236829.3799999999</v>
      </c>
      <c r="O41" s="525">
        <f ca="1">IF(L41&gt;0,N41*100/L41,0)</f>
        <v>81.879406838568727</v>
      </c>
      <c r="P41" s="525">
        <f ca="1">IF(M41&gt;0,N41*100/M41,0)</f>
        <v>80.394512658844931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231100</v>
      </c>
      <c r="M45" s="78">
        <f t="shared" ca="1" si="17"/>
        <v>236050</v>
      </c>
      <c r="N45" s="78">
        <f t="shared" ca="1" si="17"/>
        <v>206707.96</v>
      </c>
      <c r="O45" s="78">
        <f t="shared" ref="O45:O53" ca="1" si="18">IF(L45&gt;0,N45*100/L45,0)</f>
        <v>89.445244482907839</v>
      </c>
      <c r="P45" s="78">
        <f t="shared" ref="P45:P53" ca="1" si="19">IF(M45&gt;0,N45*100/M45,0)</f>
        <v>87.569565769963987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231100</v>
      </c>
      <c r="M47" s="82">
        <f t="shared" ca="1" si="23"/>
        <v>236050</v>
      </c>
      <c r="N47" s="82">
        <f t="shared" ca="1" si="23"/>
        <v>206707.96</v>
      </c>
      <c r="O47" s="82">
        <f t="shared" ca="1" si="18"/>
        <v>89.445244482907839</v>
      </c>
      <c r="P47" s="82">
        <f t="shared" ca="1" si="19"/>
        <v>87.569565769963987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231100</v>
      </c>
      <c r="M48" s="46">
        <f t="shared" ca="1" si="25"/>
        <v>236050</v>
      </c>
      <c r="N48" s="46">
        <f t="shared" ca="1" si="25"/>
        <v>206707.96</v>
      </c>
      <c r="O48" s="46">
        <f t="shared" ca="1" si="18"/>
        <v>89.445244482907839</v>
      </c>
      <c r="P48" s="46">
        <f t="shared" ca="1" si="19"/>
        <v>87.569565769963987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IFERROR(__xludf.DUMMYFUNCTION("IMPORTRANGE(""https://docs.google.com/spreadsheets/d/1-uDff_7J0KD5mKrp0Vvzr7lt3OU09vwQwhkpOPPYv2Y/edit?usp=sharing"",""งบพรบ!P77"")"),231100)</f>
        <v>231100</v>
      </c>
      <c r="M50" s="46">
        <f ca="1">IFERROR(__xludf.DUMMYFUNCTION("IMPORTRANGE(""https://docs.google.com/spreadsheets/d/1-uDff_7J0KD5mKrp0Vvzr7lt3OU09vwQwhkpOPPYv2Y/edit?usp=sharing"",""งบพรบ!V77"")"),236050)</f>
        <v>236050</v>
      </c>
      <c r="N50" s="46">
        <f ca="1">IFERROR(__xludf.DUMMYFUNCTION("IMPORTRANGE(""https://docs.google.com/spreadsheets/d/1-uDff_7J0KD5mKrp0Vvzr7lt3OU09vwQwhkpOPPYv2Y/edit?usp=sharing"",""งบพรบ!Y77"")"),206707.96)</f>
        <v>206707.96</v>
      </c>
      <c r="O50" s="46">
        <f t="shared" ca="1" si="18"/>
        <v>89.445244482907839</v>
      </c>
      <c r="P50" s="46">
        <f t="shared" ca="1" si="19"/>
        <v>87.569565769963987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IFERROR(__xludf.DUMMYFUNCTION("IMPORTRANGE(""https://docs.google.com/spreadsheets/d/1-uDff_7J0KD5mKrp0Vvzr7lt3OU09vwQwhkpOPPYv2Y/edit?usp=sharing"",""งบพรบ!S77"")"),0)</f>
        <v>0</v>
      </c>
      <c r="M53" s="46">
        <f ca="1">IFERROR(__xludf.DUMMYFUNCTION("IMPORTRANGE(""https://docs.google.com/spreadsheets/d/1-uDff_7J0KD5mKrp0Vvzr7lt3OU09vwQwhkpOPPYv2Y/edit?usp=sharing"",""งบพรบ!W77"")"),0)</f>
        <v>0</v>
      </c>
      <c r="N53" s="46">
        <f ca="1">IFERROR(__xludf.DUMMYFUNCTION("IMPORTRANGE(""https://docs.google.com/spreadsheets/d/1-uDff_7J0KD5mKrp0Vvzr7lt3OU09vwQwhkpOPPYv2Y/edit?usp=sharing"",""งบพรบ!Z77"")"),0)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494400</v>
      </c>
      <c r="M60" s="105">
        <f t="shared" ca="1" si="29"/>
        <v>494400</v>
      </c>
      <c r="N60" s="105">
        <f t="shared" ca="1" si="29"/>
        <v>442589.98</v>
      </c>
      <c r="O60" s="105">
        <f t="shared" ref="O60:O68" ca="1" si="30">IF(L60&gt;0,N60*100/L60,0)</f>
        <v>89.520627022653727</v>
      </c>
      <c r="P60" s="105">
        <f t="shared" ref="P60:P68" ca="1" si="31">IF(M60&gt;0,N60*100/M60,0)</f>
        <v>89.520627022653727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494400</v>
      </c>
      <c r="M62" s="108">
        <f t="shared" ca="1" si="35"/>
        <v>494400</v>
      </c>
      <c r="N62" s="108">
        <f t="shared" ca="1" si="35"/>
        <v>442589.98</v>
      </c>
      <c r="O62" s="108">
        <f t="shared" ca="1" si="30"/>
        <v>89.520627022653727</v>
      </c>
      <c r="P62" s="108">
        <f t="shared" ca="1" si="31"/>
        <v>89.520627022653727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494400</v>
      </c>
      <c r="M63" s="46">
        <f t="shared" ca="1" si="37"/>
        <v>494400</v>
      </c>
      <c r="N63" s="46">
        <f t="shared" ca="1" si="37"/>
        <v>442589.98</v>
      </c>
      <c r="O63" s="46">
        <f t="shared" ca="1" si="30"/>
        <v>89.520627022653727</v>
      </c>
      <c r="P63" s="46">
        <f t="shared" ca="1" si="31"/>
        <v>89.520627022653727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IFERROR(__xludf.DUMMYFUNCTION("IMPORTRANGE(""https://docs.google.com/spreadsheets/d/1-uDff_7J0KD5mKrp0Vvzr7lt3OU09vwQwhkpOPPYv2Y/edit?usp=sharing"",""งบพรบ!AC77"")"),494400)</f>
        <v>494400</v>
      </c>
      <c r="M65" s="46">
        <f ca="1">IFERROR(__xludf.DUMMYFUNCTION("IMPORTRANGE(""https://docs.google.com/spreadsheets/d/1-uDff_7J0KD5mKrp0Vvzr7lt3OU09vwQwhkpOPPYv2Y/edit?usp=sharing"",""งบพรบ!AH77"")"),494400)</f>
        <v>494400</v>
      </c>
      <c r="N65" s="46">
        <f ca="1">IFERROR(__xludf.DUMMYFUNCTION("IMPORTRANGE(""https://docs.google.com/spreadsheets/d/1-uDff_7J0KD5mKrp0Vvzr7lt3OU09vwQwhkpOPPYv2Y/edit?usp=sharing"",""งบพรบ!AJ77"")"),442589.98)</f>
        <v>442589.98</v>
      </c>
      <c r="O65" s="46">
        <f t="shared" ca="1" si="30"/>
        <v>89.520627022653727</v>
      </c>
      <c r="P65" s="46">
        <f t="shared" ca="1" si="31"/>
        <v>89.520627022653727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IFERROR(__xludf.DUMMYFUNCTION("IMPORTRANGE(""https://docs.google.com/spreadsheets/d/1-uDff_7J0KD5mKrp0Vvzr7lt3OU09vwQwhkpOPPYv2Y/edit?usp=sharing"",""งบพรบ!AF77"")"),0)</f>
        <v>0</v>
      </c>
      <c r="M68" s="110">
        <f ca="1">IFERROR(__xludf.DUMMYFUNCTION("IMPORTRANGE(""https://docs.google.com/spreadsheets/d/1-uDff_7J0KD5mKrp0Vvzr7lt3OU09vwQwhkpOPPYv2Y/edit?usp=sharing"",""งบพรบ!AI77"")"),0)</f>
        <v>0</v>
      </c>
      <c r="N68" s="110">
        <f ca="1">IFERROR(__xludf.DUMMYFUNCTION("IMPORTRANGE(""https://docs.google.com/spreadsheets/d/1-uDff_7J0KD5mKrp0Vvzr7lt3OU09vwQwhkpOPPYv2Y/edit?usp=sharing"",""งบพรบ!AK77"")"),0)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IFERROR(__xludf.DUMMYFUNCTION("IMPORTRANGE(""https://docs.google.com/spreadsheets/d/1-uDff_7J0KD5mKrp0Vvzr7lt3OU09vwQwhkpOPPYv2Y/edit?usp=sharing"",""งบพรบ!AM77"")"),0)</f>
        <v>0</v>
      </c>
      <c r="M78" s="46">
        <f ca="1">IFERROR(__xludf.DUMMYFUNCTION("IMPORTRANGE(""https://docs.google.com/spreadsheets/d/1-uDff_7J0KD5mKrp0Vvzr7lt3OU09vwQwhkpOPPYv2Y/edit?usp=sharing"",""งบพรบ!AR77"")"),0)</f>
        <v>0</v>
      </c>
      <c r="N78" s="46">
        <f ca="1">IFERROR(__xludf.DUMMYFUNCTION("IMPORTRANGE(""https://docs.google.com/spreadsheets/d/1-uDff_7J0KD5mKrp0Vvzr7lt3OU09vwQwhkpOPPYv2Y/edit?usp=sharing"",""งบพรบ!AT77"")"),0)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IFERROR(__xludf.DUMMYFUNCTION("IMPORTRANGE(""https://docs.google.com/spreadsheets/d/1ItG2mGa2ceCfYo0BwxsXqNm01IGEUdYcSSLTEv9YCik/edit?usp=sharing"",""เบิกจ่ายกองทุน!AS77"")"),0)</f>
        <v>0</v>
      </c>
      <c r="R78" s="46">
        <f ca="1">IFERROR(__xludf.DUMMYFUNCTION("IMPORTRANGE(""https://docs.google.com/spreadsheets/d/1ItG2mGa2ceCfYo0BwxsXqNm01IGEUdYcSSLTEv9YCik/edit?usp=sharing"",""เบิกจ่ายกองทุน!AT77"")"),0)</f>
        <v>0</v>
      </c>
      <c r="S78" s="46">
        <f ca="1">IFERROR(__xludf.DUMMYFUNCTION("IMPORTRANGE(""https://docs.google.com/spreadsheets/d/1ItG2mGa2ceCfYo0BwxsXqNm01IGEUdYcSSLTEv9YCik/edit?usp=sharing"",""เบิกจ่ายกองทุน!AU77"")"),0)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IFERROR(__xludf.DUMMYFUNCTION("IMPORTRANGE(""https://docs.google.com/spreadsheets/d/1-uDff_7J0KD5mKrp0Vvzr7lt3OU09vwQwhkpOPPYv2Y/edit?usp=sharing"",""งบพรบ!AP77"")"),0)</f>
        <v>0</v>
      </c>
      <c r="M81" s="46">
        <f ca="1">IFERROR(__xludf.DUMMYFUNCTION("IMPORTRANGE(""https://docs.google.com/spreadsheets/d/1-uDff_7J0KD5mKrp0Vvzr7lt3OU09vwQwhkpOPPYv2Y/edit?usp=sharing"",""งบพรบ!AS77"")"),0)</f>
        <v>0</v>
      </c>
      <c r="N81" s="46">
        <f ca="1">IFERROR(__xludf.DUMMYFUNCTION("IMPORTRANGE(""https://docs.google.com/spreadsheets/d/1-uDff_7J0KD5mKrp0Vvzr7lt3OU09vwQwhkpOPPYv2Y/edit?usp=sharing"",""งบพรบ!AU77"")"),0)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IFERROR(__xludf.DUMMYFUNCTION("IMPORTRANGE(""https://docs.google.com/spreadsheets/d/1eHaY18a8A9IcSdp1K8H6x8fbOy06t2VsZHhMHf-1x7Y/edit?usp=sharing"",""แผน!H77"")"),0)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IFERROR(__xludf.DUMMYFUNCTION("IMPORTRANGE(""https://docs.google.com/spreadsheets/d/1eHaY18a8A9IcSdp1K8H6x8fbOy06t2VsZHhMHf-1x7Y/edit?usp=sharing"",""แผน!I77"")"),0)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IFERROR(__xludf.DUMMYFUNCTION("IMPORTRANGE(""https://docs.google.com/spreadsheets/d/1eHaY18a8A9IcSdp1K8H6x8fbOy06t2VsZHhMHf-1x7Y/edit?usp=sharing"",""แผน!F77"")"),0)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IFERROR(__xludf.DUMMYFUNCTION("IMPORTRANGE(""https://docs.google.com/spreadsheets/d/1eHaY18a8A9IcSdp1K8H6x8fbOy06t2VsZHhMHf-1x7Y/edit?usp=sharing"",""แผน!G77"")"),0)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IFERROR(__xludf.DUMMYFUNCTION("IMPORTRANGE(""https://docs.google.com/spreadsheets/d/1eHaY18a8A9IcSdp1K8H6x8fbOy06t2VsZHhMHf-1x7Y/edit?usp=sharing"",""แผน!D77"")"),0)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IFERROR(__xludf.DUMMYFUNCTION("IMPORTRANGE(""https://docs.google.com/spreadsheets/d/1eHaY18a8A9IcSdp1K8H6x8fbOy06t2VsZHhMHf-1x7Y/edit?usp=sharing"",""แผน!E77"")"),0)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IFERROR(__xludf.DUMMYFUNCTION("IMPORTRANGE(""https://docs.google.com/spreadsheets/d/1eHaY18a8A9IcSdp1K8H6x8fbOy06t2VsZHhMHf-1x7Y/edit?usp=sharing"",""แผน!J77"")"),0)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IFERROR(__xludf.DUMMYFUNCTION("IMPORTRANGE(""https://docs.google.com/spreadsheets/d/1-uDff_7J0KD5mKrp0Vvzr7lt3OU09vwQwhkpOPPYv2Y/edit?usp=sharing"",""งบพรบ!AW77"")"),0)</f>
        <v>0</v>
      </c>
      <c r="M100" s="46">
        <f ca="1">IFERROR(__xludf.DUMMYFUNCTION("IMPORTRANGE(""https://docs.google.com/spreadsheets/d/1-uDff_7J0KD5mKrp0Vvzr7lt3OU09vwQwhkpOPPYv2Y/edit?usp=sharing"",""งบพรบ!BB77"")"),0)</f>
        <v>0</v>
      </c>
      <c r="N100" s="46">
        <f ca="1">IFERROR(__xludf.DUMMYFUNCTION("IMPORTRANGE(""https://docs.google.com/spreadsheets/d/1-uDff_7J0KD5mKrp0Vvzr7lt3OU09vwQwhkpOPPYv2Y/edit?usp=sharing"",""งบพรบ!BD77"")"),0)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IFERROR(__xludf.DUMMYFUNCTION("IMPORTRANGE(""https://docs.google.com/spreadsheets/d/1ItG2mGa2ceCfYo0BwxsXqNm01IGEUdYcSSLTEv9YCik/edit?usp=sharing"",""เบิกจ่ายกองทุน!AD77"")"),0)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IFERROR(__xludf.DUMMYFUNCTION("IMPORTRANGE(""https://docs.google.com/spreadsheets/d/1ItG2mGa2ceCfYo0BwxsXqNm01IGEUdYcSSLTEv9YCik/edit?usp=sharing"",""เบิกจ่ายกองทุน!AE77"")"),0)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IFERROR(__xludf.DUMMYFUNCTION("IMPORTRANGE(""https://docs.google.com/spreadsheets/d/1ItG2mGa2ceCfYo0BwxsXqNm01IGEUdYcSSLTEv9YCik/edit?usp=sharing"",""เบิกจ่ายกองทุน!AF77"")"),0)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IFERROR(__xludf.DUMMYFUNCTION("IMPORTRANGE(""https://docs.google.com/spreadsheets/d/1-uDff_7J0KD5mKrp0Vvzr7lt3OU09vwQwhkpOPPYv2Y/edit?usp=sharing"",""งบพรบ!AZ77"")"),0)</f>
        <v>0</v>
      </c>
      <c r="M103" s="46">
        <f ca="1">IFERROR(__xludf.DUMMYFUNCTION("IMPORTRANGE(""https://docs.google.com/spreadsheets/d/1-uDff_7J0KD5mKrp0Vvzr7lt3OU09vwQwhkpOPPYv2Y/edit?usp=sharing"",""งบพรบ!BC77"")"),0)</f>
        <v>0</v>
      </c>
      <c r="N103" s="46">
        <f ca="1">IFERROR(__xludf.DUMMYFUNCTION("IMPORTRANGE(""https://docs.google.com/spreadsheets/d/1-uDff_7J0KD5mKrp0Vvzr7lt3OU09vwQwhkpOPPYv2Y/edit?usp=sharing"",""งบพรบ!BE77"")"),0)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IFERROR(__xludf.DUMMYFUNCTION("IMPORTRANGE(""https://docs.google.com/spreadsheets/d/1eHaY18a8A9IcSdp1K8H6x8fbOy06t2VsZHhMHf-1x7Y/edit?usp=sharing"",""แผน!N77"")"),0)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IFERROR(__xludf.DUMMYFUNCTION("IMPORTRANGE(""https://docs.google.com/spreadsheets/d/1eHaY18a8A9IcSdp1K8H6x8fbOy06t2VsZHhMHf-1x7Y/edit?usp=sharing"",""แผน!O77"")"),0)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IFERROR(__xludf.DUMMYFUNCTION("IMPORTRANGE(""https://docs.google.com/spreadsheets/d/1eHaY18a8A9IcSdp1K8H6x8fbOy06t2VsZHhMHf-1x7Y/edit?usp=sharing"",""แผน!R77"")"),0)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15</v>
      </c>
      <c r="J117" s="127">
        <f t="shared" si="72"/>
        <v>15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191460</v>
      </c>
      <c r="R118" s="132">
        <f t="shared" ca="1" si="76"/>
        <v>191460</v>
      </c>
      <c r="S118" s="132">
        <f t="shared" ca="1" si="76"/>
        <v>62595</v>
      </c>
      <c r="T118" s="132">
        <f t="shared" ref="T118:T126" ca="1" si="77">IF(Q118&gt;0,S118*100/Q118,0)</f>
        <v>32.693513005327482</v>
      </c>
      <c r="U118" s="132">
        <f t="shared" ref="U118:U126" ca="1" si="78">IF(R118&gt;0,S118*100/R118,0)</f>
        <v>32.693513005327482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191460</v>
      </c>
      <c r="R120" s="46">
        <f t="shared" ca="1" si="80"/>
        <v>191460</v>
      </c>
      <c r="S120" s="46">
        <f t="shared" ca="1" si="80"/>
        <v>62595</v>
      </c>
      <c r="T120" s="46">
        <f t="shared" ca="1" si="77"/>
        <v>32.693513005327482</v>
      </c>
      <c r="U120" s="46">
        <f t="shared" ca="1" si="78"/>
        <v>32.693513005327482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191460</v>
      </c>
      <c r="R121" s="46">
        <f t="shared" ca="1" si="82"/>
        <v>191460</v>
      </c>
      <c r="S121" s="46">
        <f t="shared" ca="1" si="82"/>
        <v>62595</v>
      </c>
      <c r="T121" s="46">
        <f t="shared" ca="1" si="77"/>
        <v>32.693513005327482</v>
      </c>
      <c r="U121" s="46">
        <f t="shared" ca="1" si="78"/>
        <v>32.693513005327482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IFERROR(__xludf.DUMMYFUNCTION("IMPORTRANGE(""https://docs.google.com/spreadsheets/d/1-uDff_7J0KD5mKrp0Vvzr7lt3OU09vwQwhkpOPPYv2Y/edit?usp=sharing"",""งบพรบ!BG77"")"),0)</f>
        <v>0</v>
      </c>
      <c r="M123" s="46">
        <f ca="1">IFERROR(__xludf.DUMMYFUNCTION("IMPORTRANGE(""https://docs.google.com/spreadsheets/d/1-uDff_7J0KD5mKrp0Vvzr7lt3OU09vwQwhkpOPPYv2Y/edit?usp=sharing"",""งบพรบ!BL77"")"),0)</f>
        <v>0</v>
      </c>
      <c r="N123" s="46">
        <f ca="1">IFERROR(__xludf.DUMMYFUNCTION("IMPORTRANGE(""https://docs.google.com/spreadsheets/d/1-uDff_7J0KD5mKrp0Vvzr7lt3OU09vwQwhkpOPPYv2Y/edit?usp=sharing"",""งบพรบ!BN77"")"),0)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IFERROR(__xludf.DUMMYFUNCTION("IMPORTRANGE(""https://docs.google.com/spreadsheets/d/1ItG2mGa2ceCfYo0BwxsXqNm01IGEUdYcSSLTEv9YCik/edit?usp=sharing"",""เบิกจ่ายกองทุน!R77"")"),191460)</f>
        <v>191460</v>
      </c>
      <c r="R123" s="46">
        <f ca="1">IFERROR(__xludf.DUMMYFUNCTION("IMPORTRANGE(""https://docs.google.com/spreadsheets/d/1ItG2mGa2ceCfYo0BwxsXqNm01IGEUdYcSSLTEv9YCik/edit?usp=sharing"",""เบิกจ่ายกองทุน!S77"")"),191460)</f>
        <v>191460</v>
      </c>
      <c r="S123" s="46">
        <f ca="1">IFERROR(__xludf.DUMMYFUNCTION("IMPORTRANGE(""https://docs.google.com/spreadsheets/d/1ItG2mGa2ceCfYo0BwxsXqNm01IGEUdYcSSLTEv9YCik/edit?usp=sharing"",""เบิกจ่ายกองทุน!T77"")"),62595)</f>
        <v>62595</v>
      </c>
      <c r="T123" s="46">
        <f t="shared" ca="1" si="77"/>
        <v>32.693513005327482</v>
      </c>
      <c r="U123" s="46">
        <f t="shared" ca="1" si="78"/>
        <v>32.693513005327482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IFERROR(__xludf.DUMMYFUNCTION("IMPORTRANGE(""https://docs.google.com/spreadsheets/d/1-uDff_7J0KD5mKrp0Vvzr7lt3OU09vwQwhkpOPPYv2Y/edit?usp=sharing"",""งบพรบ!BJ77"")"),0)</f>
        <v>0</v>
      </c>
      <c r="M126" s="46">
        <f ca="1">IFERROR(__xludf.DUMMYFUNCTION("IMPORTRANGE(""https://docs.google.com/spreadsheets/d/1-uDff_7J0KD5mKrp0Vvzr7lt3OU09vwQwhkpOPPYv2Y/edit?usp=sharing"",""งบพรบ!BM77"")"),0)</f>
        <v>0</v>
      </c>
      <c r="N126" s="46">
        <f ca="1">IFERROR(__xludf.DUMMYFUNCTION("IMPORTRANGE(""https://docs.google.com/spreadsheets/d/1-uDff_7J0KD5mKrp0Vvzr7lt3OU09vwQwhkpOPPYv2Y/edit?usp=sharing"",""งบพรบ!BO77"")"),0)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IFERROR(__xludf.DUMMYFUNCTION("IMPORTRANGE(""https://docs.google.com/spreadsheets/d/1eHaY18a8A9IcSdp1K8H6x8fbOy06t2VsZHhMHf-1x7Y/edit?usp=sharing"",""แผน!FF77"")"),15)</f>
        <v>15</v>
      </c>
      <c r="J128" s="168">
        <v>15</v>
      </c>
      <c r="K128" s="46">
        <f t="shared" ref="K128:K131" ca="1" si="85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IFERROR(__xludf.DUMMYFUNCTION("IMPORTRANGE(""https://docs.google.com/spreadsheets/d/1eHaY18a8A9IcSdp1K8H6x8fbOy06t2VsZHhMHf-1x7Y/edit?usp=sharing"",""แผน!FG77"")"),0)</f>
        <v>0</v>
      </c>
      <c r="J129" s="168">
        <v>0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IFERROR(__xludf.DUMMYFUNCTION("IMPORTRANGE(""https://docs.google.com/spreadsheets/d/1eHaY18a8A9IcSdp1K8H6x8fbOy06t2VsZHhMHf-1x7Y/edit?usp=sharing"",""แผน!FH77"")"),15)</f>
        <v>15</v>
      </c>
      <c r="J130" s="168">
        <v>15</v>
      </c>
      <c r="K130" s="46">
        <f t="shared" ca="1" si="85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IFERROR(__xludf.DUMMYFUNCTION("IMPORTRANGE(""https://docs.google.com/spreadsheets/d/1eHaY18a8A9IcSdp1K8H6x8fbOy06t2VsZHhMHf-1x7Y/edit?usp=sharing"",""แผน!FI77"")"),0)</f>
        <v>0</v>
      </c>
      <c r="J131" s="168">
        <v>0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1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20</v>
      </c>
      <c r="J138" s="127">
        <f t="shared" si="88"/>
        <v>20</v>
      </c>
      <c r="K138" s="34">
        <f t="shared" ca="1" si="87"/>
        <v>100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2</v>
      </c>
      <c r="J139" s="127">
        <f t="shared" si="88"/>
        <v>2</v>
      </c>
      <c r="K139" s="34">
        <f t="shared" ca="1" si="87"/>
        <v>100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137700</v>
      </c>
      <c r="M140" s="132">
        <f t="shared" ca="1" si="89"/>
        <v>132700</v>
      </c>
      <c r="N140" s="132">
        <f t="shared" ca="1" si="89"/>
        <v>77695.89</v>
      </c>
      <c r="O140" s="132">
        <f t="shared" ref="O140:O148" ca="1" si="90">IF(L140&gt;0,N140*100/L140,0)</f>
        <v>56.424030501089327</v>
      </c>
      <c r="P140" s="132">
        <f t="shared" ref="P140:P148" ca="1" si="91">IF(M140&gt;0,N140*100/M140,0)</f>
        <v>58.550030143180102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137700</v>
      </c>
      <c r="M142" s="46">
        <f t="shared" ca="1" si="95"/>
        <v>132700</v>
      </c>
      <c r="N142" s="46">
        <f t="shared" ca="1" si="95"/>
        <v>77695.89</v>
      </c>
      <c r="O142" s="46">
        <f t="shared" ca="1" si="90"/>
        <v>56.424030501089327</v>
      </c>
      <c r="P142" s="46">
        <f t="shared" ca="1" si="91"/>
        <v>58.550030143180102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137700</v>
      </c>
      <c r="M143" s="46">
        <f t="shared" ca="1" si="97"/>
        <v>132700</v>
      </c>
      <c r="N143" s="46">
        <f t="shared" ca="1" si="97"/>
        <v>77695.89</v>
      </c>
      <c r="O143" s="46">
        <f t="shared" ca="1" si="90"/>
        <v>56.424030501089327</v>
      </c>
      <c r="P143" s="46">
        <f t="shared" ca="1" si="91"/>
        <v>58.550030143180102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IFERROR(__xludf.DUMMYFUNCTION("IMPORTRANGE(""https://docs.google.com/spreadsheets/d/1-uDff_7J0KD5mKrp0Vvzr7lt3OU09vwQwhkpOPPYv2Y/edit?usp=sharing"",""งบพรบ!BQ77"")"),137700)</f>
        <v>137700</v>
      </c>
      <c r="M145" s="46">
        <f ca="1">IFERROR(__xludf.DUMMYFUNCTION("IMPORTRANGE(""https://docs.google.com/spreadsheets/d/1-uDff_7J0KD5mKrp0Vvzr7lt3OU09vwQwhkpOPPYv2Y/edit?usp=sharing"",""งบพรบ!BV77"")"),132700)</f>
        <v>132700</v>
      </c>
      <c r="N145" s="46">
        <f ca="1">IFERROR(__xludf.DUMMYFUNCTION("IMPORTRANGE(""https://docs.google.com/spreadsheets/d/1-uDff_7J0KD5mKrp0Vvzr7lt3OU09vwQwhkpOPPYv2Y/edit?usp=sharing"",""งบพรบ!BX77"")"),77695.89)</f>
        <v>77695.89</v>
      </c>
      <c r="O145" s="46">
        <f t="shared" ca="1" si="90"/>
        <v>56.424030501089327</v>
      </c>
      <c r="P145" s="46">
        <f t="shared" ca="1" si="91"/>
        <v>58.550030143180102</v>
      </c>
      <c r="Q145" s="46">
        <f ca="1">IFERROR(__xludf.DUMMYFUNCTION("IMPORTRANGE(""https://docs.google.com/spreadsheets/d/1ItG2mGa2ceCfYo0BwxsXqNm01IGEUdYcSSLTEv9YCik/edit?usp=sharing"",""เบิกจ่ายกองทุน!BB77"")"),0)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IFERROR(__xludf.DUMMYFUNCTION("IMPORTRANGE(""https://docs.google.com/spreadsheets/d/1ItG2mGa2ceCfYo0BwxsXqNm01IGEUdYcSSLTEv9YCik/edit?usp=sharing"",""เบิกจ่ายกองทุน!BC77"")"),0)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IFERROR(__xludf.DUMMYFUNCTION("IMPORTRANGE(""https://docs.google.com/spreadsheets/d/1ItG2mGa2ceCfYo0BwxsXqNm01IGEUdYcSSLTEv9YCik/edit?usp=sharing"",""เบิกจ่ายกองทุน!BD77"")"),0)</f>
        <v>0</v>
      </c>
      <c r="T145" s="46">
        <f t="shared" ca="1" si="93"/>
        <v>0</v>
      </c>
      <c r="U145" s="46">
        <f t="shared" ca="1" si="94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IFERROR(__xludf.DUMMYFUNCTION("IMPORTRANGE(""https://docs.google.com/spreadsheets/d/1-uDff_7J0KD5mKrp0Vvzr7lt3OU09vwQwhkpOPPYv2Y/edit?usp=sharing"",""งบพรบ!BT77"")"),0)</f>
        <v>0</v>
      </c>
      <c r="M148" s="46">
        <f ca="1">IFERROR(__xludf.DUMMYFUNCTION("IMPORTRANGE(""https://docs.google.com/spreadsheets/d/1-uDff_7J0KD5mKrp0Vvzr7lt3OU09vwQwhkpOPPYv2Y/edit?usp=sharing"",""งบพรบ!BW77"")"),0)</f>
        <v>0</v>
      </c>
      <c r="N148" s="46">
        <f ca="1">IFERROR(__xludf.DUMMYFUNCTION("IMPORTRANGE(""https://docs.google.com/spreadsheets/d/1-uDff_7J0KD5mKrp0Vvzr7lt3OU09vwQwhkpOPPYv2Y/edit?usp=sharing"",""งบพรบ!BY77"")"),0)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IFERROR(__xludf.DUMMYFUNCTION("IMPORTRANGE(""https://docs.google.com/spreadsheets/d/1eHaY18a8A9IcSdp1K8H6x8fbOy06t2VsZHhMHf-1x7Y/edit?usp=sharing"",""แผน!U77"")"),10)</f>
        <v>10</v>
      </c>
      <c r="J151" s="168">
        <v>10</v>
      </c>
      <c r="K151" s="46">
        <f t="shared" ref="K151:K155" ca="1" si="101">IF(I151&gt;0,J151*100/I151,0)</f>
        <v>100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IFERROR(__xludf.DUMMYFUNCTION("IMPORTRANGE(""https://docs.google.com/spreadsheets/d/1eHaY18a8A9IcSdp1K8H6x8fbOy06t2VsZHhMHf-1x7Y/edit?usp=sharing"",""แผน!V77"")"),1)</f>
        <v>1</v>
      </c>
      <c r="J152" s="168">
        <v>1</v>
      </c>
      <c r="K152" s="46">
        <f t="shared" ca="1" si="101"/>
        <v>100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IFERROR(__xludf.DUMMYFUNCTION("IMPORTRANGE(""https://docs.google.com/spreadsheets/d/1eHaY18a8A9IcSdp1K8H6x8fbOy06t2VsZHhMHf-1x7Y/edit?usp=sharing"",""แผน!W77"")"),20)</f>
        <v>20</v>
      </c>
      <c r="J153" s="168">
        <v>20</v>
      </c>
      <c r="K153" s="46">
        <f t="shared" ca="1" si="101"/>
        <v>100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IFERROR(__xludf.DUMMYFUNCTION("IMPORTRANGE(""https://docs.google.com/spreadsheets/d/1eHaY18a8A9IcSdp1K8H6x8fbOy06t2VsZHhMHf-1x7Y/edit?usp=sharing"",""แผน!X77"")"),2)</f>
        <v>2</v>
      </c>
      <c r="J154" s="168">
        <v>2</v>
      </c>
      <c r="K154" s="46">
        <f t="shared" ca="1" si="101"/>
        <v>100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IFERROR(__xludf.DUMMYFUNCTION("IMPORTRANGE(""https://docs.google.com/spreadsheets/d/1eHaY18a8A9IcSdp1K8H6x8fbOy06t2VsZHhMHf-1x7Y/edit?usp=sharing"",""แผน!Y77"")"),1)</f>
        <v>1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IFERROR(__xludf.DUMMYFUNCTION("IMPORTRANGE(""https://docs.google.com/spreadsheets/d/1-uDff_7J0KD5mKrp0Vvzr7lt3OU09vwQwhkpOPPYv2Y/edit?usp=sharing"",""งบพรบ!CA77"")"),0)</f>
        <v>0</v>
      </c>
      <c r="M163" s="46">
        <f ca="1">IFERROR(__xludf.DUMMYFUNCTION("IMPORTRANGE(""https://docs.google.com/spreadsheets/d/1-uDff_7J0KD5mKrp0Vvzr7lt3OU09vwQwhkpOPPYv2Y/edit?usp=sharing"",""งบพรบ!CF77"")"),0)</f>
        <v>0</v>
      </c>
      <c r="N163" s="46">
        <f ca="1">IFERROR(__xludf.DUMMYFUNCTION("IMPORTRANGE(""https://docs.google.com/spreadsheets/d/1-uDff_7J0KD5mKrp0Vvzr7lt3OU09vwQwhkpOPPYv2Y/edit?usp=sharing"",""งบพรบ!CH77"")"),0)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IFERROR(__xludf.DUMMYFUNCTION("IMPORTRANGE(""https://docs.google.com/spreadsheets/d/1ItG2mGa2ceCfYo0BwxsXqNm01IGEUdYcSSLTEv9YCik/edit?usp=sharing"",""เบิกจ่ายกองทุน!AG77"")"),0)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IFERROR(__xludf.DUMMYFUNCTION("IMPORTRANGE(""https://docs.google.com/spreadsheets/d/1ItG2mGa2ceCfYo0BwxsXqNm01IGEUdYcSSLTEv9YCik/edit?usp=sharing"",""เบิกจ่ายกองทุน!AH77"")"),0)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IFERROR(__xludf.DUMMYFUNCTION("IMPORTRANGE(""https://docs.google.com/spreadsheets/d/1ItG2mGa2ceCfYo0BwxsXqNm01IGEUdYcSSLTEv9YCik/edit?usp=sharing"",""เบิกจ่ายกองทุน!AI77"")"),0)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IFERROR(__xludf.DUMMYFUNCTION("IMPORTRANGE(""https://docs.google.com/spreadsheets/d/1-uDff_7J0KD5mKrp0Vvzr7lt3OU09vwQwhkpOPPYv2Y/edit?usp=sharing"",""งบพรบ!CD77"")"),0)</f>
        <v>0</v>
      </c>
      <c r="M166" s="46">
        <f ca="1">IFERROR(__xludf.DUMMYFUNCTION("IMPORTRANGE(""https://docs.google.com/spreadsheets/d/1-uDff_7J0KD5mKrp0Vvzr7lt3OU09vwQwhkpOPPYv2Y/edit?usp=sharing"",""งบพรบ!CG77"")"),0)</f>
        <v>0</v>
      </c>
      <c r="N166" s="46">
        <f ca="1">IFERROR(__xludf.DUMMYFUNCTION("IMPORTRANGE(""https://docs.google.com/spreadsheets/d/1-uDff_7J0KD5mKrp0Vvzr7lt3OU09vwQwhkpOPPYv2Y/edit?usp=sharing"",""งบพรบ!CI77"")"),0)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IFERROR(__xludf.DUMMYFUNCTION("IMPORTRANGE(""https://docs.google.com/spreadsheets/d/1eHaY18a8A9IcSdp1K8H6x8fbOy06t2VsZHhMHf-1x7Y/edit?usp=sharing"",""แผน!Z77"")"),0)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IFERROR(__xludf.DUMMYFUNCTION("IMPORTRANGE(""https://docs.google.com/spreadsheets/d/1eHaY18a8A9IcSdp1K8H6x8fbOy06t2VsZHhMHf-1x7Y/edit?usp=sharing"",""แผน!Z77"")"),0)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IFERROR(__xludf.DUMMYFUNCTION("IMPORTRANGE(""https://docs.google.com/spreadsheets/d/1eHaY18a8A9IcSdp1K8H6x8fbOy06t2VsZHhMHf-1x7Y/edit?usp=sharing"",""แผน!Z77"")"),0)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7</v>
      </c>
      <c r="J173" s="221">
        <f t="shared" si="116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19590</v>
      </c>
      <c r="M174" s="132">
        <f t="shared" ca="1" si="117"/>
        <v>36840</v>
      </c>
      <c r="N174" s="132">
        <f t="shared" ca="1" si="117"/>
        <v>36840</v>
      </c>
      <c r="O174" s="132">
        <f t="shared" ref="O174:O182" ca="1" si="118">IF(L174&gt;0,N174*100/L174,0)</f>
        <v>188.0551301684533</v>
      </c>
      <c r="P174" s="132">
        <f t="shared" ref="P174:P182" ca="1" si="119">IF(M174&gt;0,N174*100/M174,0)</f>
        <v>100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19590</v>
      </c>
      <c r="M176" s="46">
        <f t="shared" ca="1" si="123"/>
        <v>36840</v>
      </c>
      <c r="N176" s="46">
        <f t="shared" ca="1" si="123"/>
        <v>36840</v>
      </c>
      <c r="O176" s="46">
        <f t="shared" ca="1" si="118"/>
        <v>188.0551301684533</v>
      </c>
      <c r="P176" s="46">
        <f t="shared" ca="1" si="119"/>
        <v>100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19590</v>
      </c>
      <c r="M177" s="46">
        <f t="shared" ca="1" si="125"/>
        <v>36840</v>
      </c>
      <c r="N177" s="46">
        <f t="shared" ca="1" si="125"/>
        <v>36840</v>
      </c>
      <c r="O177" s="46">
        <f t="shared" ca="1" si="118"/>
        <v>188.0551301684533</v>
      </c>
      <c r="P177" s="46">
        <f t="shared" ca="1" si="119"/>
        <v>100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IFERROR(__xludf.DUMMYFUNCTION("IMPORTRANGE(""https://docs.google.com/spreadsheets/d/1-uDff_7J0KD5mKrp0Vvzr7lt3OU09vwQwhkpOPPYv2Y/edit?usp=sharing"",""งบพรบ!CK77"")"),19590)</f>
        <v>19590</v>
      </c>
      <c r="M179" s="46">
        <f ca="1">IFERROR(__xludf.DUMMYFUNCTION("IMPORTRANGE(""https://docs.google.com/spreadsheets/d/1-uDff_7J0KD5mKrp0Vvzr7lt3OU09vwQwhkpOPPYv2Y/edit?usp=sharing"",""งบพรบ!CP77"")"),36840)</f>
        <v>36840</v>
      </c>
      <c r="N179" s="46">
        <f ca="1">IFERROR(__xludf.DUMMYFUNCTION("IMPORTRANGE(""https://docs.google.com/spreadsheets/d/1-uDff_7J0KD5mKrp0Vvzr7lt3OU09vwQwhkpOPPYv2Y/edit?usp=sharing"",""งบพรบ!CR77"")"),36840)</f>
        <v>36840</v>
      </c>
      <c r="O179" s="46">
        <f t="shared" ca="1" si="118"/>
        <v>188.0551301684533</v>
      </c>
      <c r="P179" s="46">
        <f t="shared" ca="1" si="119"/>
        <v>100</v>
      </c>
      <c r="Q179" s="46">
        <f ca="1">IFERROR(__xludf.DUMMYFUNCTION("IMPORTRANGE(""https://docs.google.com/spreadsheets/d/1ItG2mGa2ceCfYo0BwxsXqNm01IGEUdYcSSLTEv9YCik/edit?usp=sharing"",""เบิกจ่ายกองทุน!BE77"")"),0)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IFERROR(__xludf.DUMMYFUNCTION("IMPORTRANGE(""https://docs.google.com/spreadsheets/d/1ItG2mGa2ceCfYo0BwxsXqNm01IGEUdYcSSLTEv9YCik/edit?usp=sharing"",""เบิกจ่ายกองทุน!BF77"")"),0)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IFERROR(__xludf.DUMMYFUNCTION("IMPORTRANGE(""https://docs.google.com/spreadsheets/d/1ItG2mGa2ceCfYo0BwxsXqNm01IGEUdYcSSLTEv9YCik/edit?usp=sharing"",""เบิกจ่ายกองทุน!BG77"")"),0)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IFERROR(__xludf.DUMMYFUNCTION("IMPORTRANGE(""https://docs.google.com/spreadsheets/d/1-uDff_7J0KD5mKrp0Vvzr7lt3OU09vwQwhkpOPPYv2Y/edit?usp=sharing"",""งบพรบ!CN77"")"),0)</f>
        <v>0</v>
      </c>
      <c r="M182" s="46">
        <f ca="1">IFERROR(__xludf.DUMMYFUNCTION("IMPORTRANGE(""https://docs.google.com/spreadsheets/d/1-uDff_7J0KD5mKrp0Vvzr7lt3OU09vwQwhkpOPPYv2Y/edit?usp=sharing"",""งบพรบ!CQ77"")"),0)</f>
        <v>0</v>
      </c>
      <c r="N182" s="46">
        <f ca="1">IFERROR(__xludf.DUMMYFUNCTION("IMPORTRANGE(""https://docs.google.com/spreadsheets/d/1-uDff_7J0KD5mKrp0Vvzr7lt3OU09vwQwhkpOPPYv2Y/edit?usp=sharing"",""งบพรบ!CS77"")"),0)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IFERROR(__xludf.DUMMYFUNCTION("IMPORTRANGE(""https://docs.google.com/spreadsheets/d/1eHaY18a8A9IcSdp1K8H6x8fbOy06t2VsZHhMHf-1x7Y/edit?usp=sharing"",""แผน!AA77"")"),7)</f>
        <v>7</v>
      </c>
      <c r="J184" s="168">
        <v>7</v>
      </c>
      <c r="K184" s="46">
        <f t="shared" ref="K184:K186" ca="1" si="129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0</v>
      </c>
      <c r="J186" s="221">
        <f t="shared" si="130"/>
        <v>0</v>
      </c>
      <c r="K186" s="222">
        <f t="shared" ca="1" si="129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23500</v>
      </c>
      <c r="M187" s="132">
        <f t="shared" ca="1" si="131"/>
        <v>24200</v>
      </c>
      <c r="N187" s="132">
        <f t="shared" ca="1" si="131"/>
        <v>6220</v>
      </c>
      <c r="O187" s="132">
        <f t="shared" ref="O187:O195" ca="1" si="132">IF(L187&gt;0,N187*100/L187,0)</f>
        <v>26.468085106382979</v>
      </c>
      <c r="P187" s="132">
        <f t="shared" ref="P187:P195" ca="1" si="133">IF(M187&gt;0,N187*100/M187,0)</f>
        <v>25.702479338842974</v>
      </c>
      <c r="Q187" s="132">
        <f t="shared" ref="Q187:S187" ca="1" si="134">Q188+Q189</f>
        <v>14000</v>
      </c>
      <c r="R187" s="132">
        <f t="shared" ca="1" si="134"/>
        <v>14000</v>
      </c>
      <c r="S187" s="132">
        <f t="shared" ca="1" si="134"/>
        <v>0</v>
      </c>
      <c r="T187" s="132">
        <f t="shared" ref="T187:T195" ca="1" si="135">IF(Q187&gt;0,S187*100/Q187,0)</f>
        <v>0</v>
      </c>
      <c r="U187" s="132">
        <f t="shared" ref="U187:U195" ca="1" si="136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23500</v>
      </c>
      <c r="M189" s="46">
        <f t="shared" ca="1" si="137"/>
        <v>24200</v>
      </c>
      <c r="N189" s="46">
        <f t="shared" ca="1" si="137"/>
        <v>6220</v>
      </c>
      <c r="O189" s="46">
        <f t="shared" ca="1" si="132"/>
        <v>26.468085106382979</v>
      </c>
      <c r="P189" s="46">
        <f t="shared" ca="1" si="133"/>
        <v>25.702479338842974</v>
      </c>
      <c r="Q189" s="46">
        <f t="shared" ca="1" si="138"/>
        <v>14000</v>
      </c>
      <c r="R189" s="46">
        <f t="shared" ca="1" si="138"/>
        <v>14000</v>
      </c>
      <c r="S189" s="46">
        <f t="shared" ca="1" si="138"/>
        <v>0</v>
      </c>
      <c r="T189" s="46">
        <f t="shared" ca="1" si="135"/>
        <v>0</v>
      </c>
      <c r="U189" s="46">
        <f t="shared" ca="1" si="136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23500</v>
      </c>
      <c r="M190" s="46">
        <f t="shared" ca="1" si="139"/>
        <v>24200</v>
      </c>
      <c r="N190" s="46">
        <f t="shared" ca="1" si="139"/>
        <v>6220</v>
      </c>
      <c r="O190" s="46">
        <f t="shared" ca="1" si="132"/>
        <v>26.468085106382979</v>
      </c>
      <c r="P190" s="46">
        <f t="shared" ca="1" si="133"/>
        <v>25.702479338842974</v>
      </c>
      <c r="Q190" s="46">
        <f t="shared" ref="Q190:S190" ca="1" si="140">Q191+Q192</f>
        <v>14000</v>
      </c>
      <c r="R190" s="46">
        <f t="shared" ca="1" si="140"/>
        <v>14000</v>
      </c>
      <c r="S190" s="46">
        <f t="shared" ca="1" si="140"/>
        <v>0</v>
      </c>
      <c r="T190" s="46">
        <f t="shared" ca="1" si="135"/>
        <v>0</v>
      </c>
      <c r="U190" s="46">
        <f t="shared" ca="1" si="136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IFERROR(__xludf.DUMMYFUNCTION("IMPORTRANGE(""https://docs.google.com/spreadsheets/d/1-uDff_7J0KD5mKrp0Vvzr7lt3OU09vwQwhkpOPPYv2Y/edit?usp=sharing"",""งบพรบ!CU77"")"),23500)</f>
        <v>23500</v>
      </c>
      <c r="M192" s="46">
        <f ca="1">IFERROR(__xludf.DUMMYFUNCTION("IMPORTRANGE(""https://docs.google.com/spreadsheets/d/1-uDff_7J0KD5mKrp0Vvzr7lt3OU09vwQwhkpOPPYv2Y/edit?usp=sharing"",""งบพรบ!CZ77"")"),24200)</f>
        <v>24200</v>
      </c>
      <c r="N192" s="46">
        <f ca="1">IFERROR(__xludf.DUMMYFUNCTION("IMPORTRANGE(""https://docs.google.com/spreadsheets/d/1-uDff_7J0KD5mKrp0Vvzr7lt3OU09vwQwhkpOPPYv2Y/edit?usp=sharing"",""งบพรบ!DB77"")"),6220)</f>
        <v>6220</v>
      </c>
      <c r="O192" s="46">
        <f t="shared" ca="1" si="132"/>
        <v>26.468085106382979</v>
      </c>
      <c r="P192" s="46">
        <f t="shared" ca="1" si="133"/>
        <v>25.702479338842974</v>
      </c>
      <c r="Q192" s="46">
        <f ca="1">IFERROR(__xludf.DUMMYFUNCTION("IMPORTRANGE(""https://docs.google.com/spreadsheets/d/1ItG2mGa2ceCfYo0BwxsXqNm01IGEUdYcSSLTEv9YCik/edit?usp=sharing"",""เบิกจ่ายกองทุน!AV77"")"),14000)</f>
        <v>14000</v>
      </c>
      <c r="R192" s="46">
        <f ca="1">IFERROR(__xludf.DUMMYFUNCTION("IMPORTRANGE(""https://docs.google.com/spreadsheets/d/1ItG2mGa2ceCfYo0BwxsXqNm01IGEUdYcSSLTEv9YCik/edit?usp=sharing"",""เบิกจ่ายกองทุน!AW77"")"),14000)</f>
        <v>14000</v>
      </c>
      <c r="S192" s="46">
        <f ca="1">IFERROR(__xludf.DUMMYFUNCTION("IMPORTRANGE(""https://docs.google.com/spreadsheets/d/1ItG2mGa2ceCfYo0BwxsXqNm01IGEUdYcSSLTEv9YCik/edit?usp=sharing"",""เบิกจ่ายกองทุน!AX77"")"),0)</f>
        <v>0</v>
      </c>
      <c r="T192" s="46">
        <f t="shared" ca="1" si="135"/>
        <v>0</v>
      </c>
      <c r="U192" s="46">
        <f t="shared" ca="1" si="136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IFERROR(__xludf.DUMMYFUNCTION("IMPORTRANGE(""https://docs.google.com/spreadsheets/d/1-uDff_7J0KD5mKrp0Vvzr7lt3OU09vwQwhkpOPPYv2Y/edit?usp=sharing"",""งบพรบ!CX77"")"),0)</f>
        <v>0</v>
      </c>
      <c r="M195" s="46">
        <f ca="1">IFERROR(__xludf.DUMMYFUNCTION("IMPORTRANGE(""https://docs.google.com/spreadsheets/d/1-uDff_7J0KD5mKrp0Vvzr7lt3OU09vwQwhkpOPPYv2Y/edit?usp=sharing"",""งบพรบ!DA77"")"),0)</f>
        <v>0</v>
      </c>
      <c r="N195" s="46">
        <f ca="1">IFERROR(__xludf.DUMMYFUNCTION("IMPORTRANGE(""https://docs.google.com/spreadsheets/d/1-uDff_7J0KD5mKrp0Vvzr7lt3OU09vwQwhkpOPPYv2Y/edit?usp=sharing"",""งบพรบ!DC77"")"),0)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IFERROR(__xludf.DUMMYFUNCTION("IMPORTRANGE(""https://docs.google.com/spreadsheets/d/1eHaY18a8A9IcSdp1K8H6x8fbOy06t2VsZHhMHf-1x7Y/edit?usp=sharing"",""แผน!AB77"")"),6000)</f>
        <v>6000</v>
      </c>
      <c r="M197" s="45"/>
      <c r="N197" s="564">
        <v>360</v>
      </c>
      <c r="O197" s="132">
        <f ca="1">IF(L197&gt;0,N197*100/L197,0)</f>
        <v>6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IFERROR(__xludf.DUMMYFUNCTION("IMPORTRANGE(""https://docs.google.com/spreadsheets/d/1eHaY18a8A9IcSdp1K8H6x8fbOy06t2VsZHhMHf-1x7Y/edit?usp=sharing"",""แผน!AE77"")"),4)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72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72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1</v>
      </c>
      <c r="J203" s="235">
        <f t="shared" si="144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IFERROR(__xludf.DUMMYFUNCTION("IMPORTRANGE(""https://docs.google.com/spreadsheets/d/1eHaY18a8A9IcSdp1K8H6x8fbOy06t2VsZHhMHf-1x7Y/edit?usp=sharing"",""แผน!AG77"")"),1000)</f>
        <v>1000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IFERROR(__xludf.DUMMYFUNCTION("IMPORTRANGE(""https://docs.google.com/spreadsheets/d/1eHaY18a8A9IcSdp1K8H6x8fbOy06t2VsZHhMHf-1x7Y/edit?usp=sharing"",""แผน!AH77"")"),0)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IFERROR(__xludf.DUMMYFUNCTION("IMPORTRANGE(""https://docs.google.com/spreadsheets/d/1eHaY18a8A9IcSdp1K8H6x8fbOy06t2VsZHhMHf-1x7Y/edit?usp=sharing"",""แผน!AI77"")"),0)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IFERROR(__xludf.DUMMYFUNCTION("IMPORTRANGE(""https://docs.google.com/spreadsheets/d/1eHaY18a8A9IcSdp1K8H6x8fbOy06t2VsZHhMHf-1x7Y/edit?usp=sharing"",""แผน!AJ77"")"),4000)</f>
        <v>4000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IFERROR(__xludf.DUMMYFUNCTION("IMPORTRANGE(""https://docs.google.com/spreadsheets/d/1eHaY18a8A9IcSdp1K8H6x8fbOy06t2VsZHhMHf-1x7Y/edit?usp=sharing"",""แผน!AK77"")"),1)</f>
        <v>1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IFERROR(__xludf.DUMMYFUNCTION("IMPORTRANGE(""https://docs.google.com/spreadsheets/d/1eHaY18a8A9IcSdp1K8H6x8fbOy06t2VsZHhMHf-1x7Y/edit?usp=sharing"",""แผน!JX77"")"),1)</f>
        <v>1</v>
      </c>
      <c r="J212" s="168">
        <v>0</v>
      </c>
      <c r="K212" s="153">
        <f t="shared" ref="K212:K214" ca="1" si="145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IFERROR(__xludf.DUMMYFUNCTION("IMPORTRANGE(""https://docs.google.com/spreadsheets/d/1eHaY18a8A9IcSdp1K8H6x8fbOy06t2VsZHhMHf-1x7Y/edit?usp=sharing"",""แผน!JY77"")"),0)</f>
        <v>0</v>
      </c>
      <c r="J213" s="168">
        <v>0</v>
      </c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0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IFERROR(__xludf.DUMMYFUNCTION("IMPORTRANGE(""https://docs.google.com/spreadsheets/d/1eHaY18a8A9IcSdp1K8H6x8fbOy06t2VsZHhMHf-1x7Y/edit?usp=sharing"",""แผน!AM77"")"),0)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IFERROR(__xludf.DUMMYFUNCTION("IMPORTRANGE(""https://docs.google.com/spreadsheets/d/1eHaY18a8A9IcSdp1K8H6x8fbOy06t2VsZHhMHf-1x7Y/edit?usp=sharing"",""แผน!AN77"")"),0)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IFERROR(__xludf.DUMMYFUNCTION("IMPORTRANGE(""https://docs.google.com/spreadsheets/d/1eHaY18a8A9IcSdp1K8H6x8fbOy06t2VsZHhMHf-1x7Y/edit?usp=sharing"",""แผน!AO77"")"),0)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IFERROR(__xludf.DUMMYFUNCTION("IMPORTRANGE(""https://docs.google.com/spreadsheets/d/1eHaY18a8A9IcSdp1K8H6x8fbOy06t2VsZHhMHf-1x7Y/edit?usp=sharing"",""แผน!AP77"")"),0)</f>
        <v>0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10000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IFERROR(__xludf.DUMMYFUNCTION("IMPORTRANGE(""https://docs.google.com/spreadsheets/d/1eHaY18a8A9IcSdp1K8H6x8fbOy06t2VsZHhMHf-1x7Y/edit?usp=sharing"",""แผน!AR77"")"),2500)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IFERROR(__xludf.DUMMYFUNCTION("IMPORTRANGE(""https://docs.google.com/spreadsheets/d/1eHaY18a8A9IcSdp1K8H6x8fbOy06t2VsZHhMHf-1x7Y/edit?usp=sharing"",""แผน!AS77"")"),2000)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IFERROR(__xludf.DUMMYFUNCTION("IMPORTRANGE(""https://docs.google.com/spreadsheets/d/1eHaY18a8A9IcSdp1K8H6x8fbOy06t2VsZHhMHf-1x7Y/edit?usp=sharing"",""แผน!AT77"")"),0)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IFERROR(__xludf.DUMMYFUNCTION("IMPORTRANGE(""https://docs.google.com/spreadsheets/d/1eHaY18a8A9IcSdp1K8H6x8fbOy06t2VsZHhMHf-1x7Y/edit?usp=sharing"",""แผน!AV77"")"),10000)</f>
        <v>10000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IFERROR(__xludf.DUMMYFUNCTION("IMPORTRANGE(""https://docs.google.com/spreadsheets/d/1eHaY18a8A9IcSdp1K8H6x8fbOy06t2VsZHhMHf-1x7Y/edit?usp=sharing"",""แผน!AU77"")"),0)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0</v>
      </c>
      <c r="J232" s="573">
        <f t="shared" si="150"/>
        <v>0</v>
      </c>
      <c r="K232" s="574">
        <f t="shared" ca="1" si="149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0</v>
      </c>
      <c r="M233" s="45"/>
      <c r="N233" s="583">
        <f t="shared" ref="N233:N237" si="152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0</v>
      </c>
      <c r="M234" s="45"/>
      <c r="N234" s="48">
        <f t="shared" si="152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0</v>
      </c>
      <c r="M235" s="45"/>
      <c r="N235" s="48">
        <f t="shared" si="152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0</v>
      </c>
      <c r="M236" s="45"/>
      <c r="N236" s="48">
        <f t="shared" si="152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0</v>
      </c>
      <c r="J239" s="340">
        <f t="shared" si="153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4">I252+I263</f>
        <v>0</v>
      </c>
      <c r="J241" s="340">
        <f t="shared" si="154"/>
        <v>0</v>
      </c>
      <c r="K241" s="48">
        <f t="shared" ref="K241:K243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4"/>
        <v>0</v>
      </c>
      <c r="J242" s="340">
        <f t="shared" si="154"/>
        <v>0</v>
      </c>
      <c r="K242" s="48">
        <f t="shared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567"/>
      <c r="B243" s="568"/>
      <c r="C243" s="569" t="s">
        <v>111</v>
      </c>
      <c r="D243" s="570"/>
      <c r="E243" s="570"/>
      <c r="F243" s="570"/>
      <c r="G243" s="571"/>
      <c r="H243" s="572" t="s">
        <v>35</v>
      </c>
      <c r="I243" s="573">
        <f t="shared" ref="I243:J243" ca="1" si="156">I250</f>
        <v>0</v>
      </c>
      <c r="J243" s="573">
        <f t="shared" si="156"/>
        <v>0</v>
      </c>
      <c r="K243" s="574">
        <f t="shared" ca="1" si="155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575"/>
      <c r="B244" s="576"/>
      <c r="C244" s="577" t="s">
        <v>18</v>
      </c>
      <c r="D244" s="578" t="s">
        <v>19</v>
      </c>
      <c r="E244" s="576"/>
      <c r="F244" s="576"/>
      <c r="G244" s="579"/>
      <c r="H244" s="398" t="s">
        <v>14</v>
      </c>
      <c r="I244" s="580"/>
      <c r="J244" s="580"/>
      <c r="K244" s="581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575"/>
      <c r="B245" s="584"/>
      <c r="C245" s="576"/>
      <c r="D245" s="157" t="s">
        <v>86</v>
      </c>
      <c r="E245" s="576"/>
      <c r="F245" s="576"/>
      <c r="G245" s="579"/>
      <c r="H245" s="160" t="s">
        <v>14</v>
      </c>
      <c r="I245" s="580"/>
      <c r="J245" s="580"/>
      <c r="K245" s="581"/>
      <c r="L245" s="519">
        <f ca="1">IFERROR(__xludf.DUMMYFUNCTION("IMPORTRANGE(""https://docs.google.com/spreadsheets/d/1eHaY18a8A9IcSdp1K8H6x8fbOy06t2VsZHhMHf-1x7Y/edit?usp=sharing"",""แผน!AX77"")"),0)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585"/>
      <c r="B246" s="584"/>
      <c r="C246" s="584"/>
      <c r="D246" s="157" t="s">
        <v>88</v>
      </c>
      <c r="E246" s="576"/>
      <c r="F246" s="576"/>
      <c r="G246" s="579"/>
      <c r="H246" s="160" t="s">
        <v>14</v>
      </c>
      <c r="I246" s="586"/>
      <c r="J246" s="586"/>
      <c r="K246" s="587"/>
      <c r="L246" s="519">
        <f ca="1">IFERROR(__xludf.DUMMYFUNCTION("IMPORTRANGE(""https://docs.google.com/spreadsheets/d/1eHaY18a8A9IcSdp1K8H6x8fbOy06t2VsZHhMHf-1x7Y/edit?usp=sharing"",""แผน!AY77"")"),0)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585"/>
      <c r="B247" s="584"/>
      <c r="C247" s="584"/>
      <c r="D247" s="157" t="s">
        <v>106</v>
      </c>
      <c r="E247" s="576"/>
      <c r="F247" s="576"/>
      <c r="G247" s="579"/>
      <c r="H247" s="160" t="s">
        <v>14</v>
      </c>
      <c r="I247" s="586"/>
      <c r="J247" s="586"/>
      <c r="K247" s="587"/>
      <c r="L247" s="519">
        <f ca="1">IFERROR(__xludf.DUMMYFUNCTION("IMPORTRANGE(""https://docs.google.com/spreadsheets/d/1eHaY18a8A9IcSdp1K8H6x8fbOy06t2VsZHhMHf-1x7Y/edit?usp=sharing"",""แผน!AZ77"")"),0)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585"/>
      <c r="B248" s="584"/>
      <c r="C248" s="584"/>
      <c r="D248" s="157" t="s">
        <v>107</v>
      </c>
      <c r="E248" s="576"/>
      <c r="F248" s="576"/>
      <c r="G248" s="579"/>
      <c r="H248" s="160" t="s">
        <v>14</v>
      </c>
      <c r="I248" s="586"/>
      <c r="J248" s="586"/>
      <c r="K248" s="587"/>
      <c r="L248" s="519">
        <f ca="1">IFERROR(__xludf.DUMMYFUNCTION("IMPORTRANGE(""https://docs.google.com/spreadsheets/d/1eHaY18a8A9IcSdp1K8H6x8fbOy06t2VsZHhMHf-1x7Y/edit?usp=sharing"",""แผน!BA77"")"),0)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588"/>
      <c r="B249" s="589"/>
      <c r="C249" s="590" t="s">
        <v>18</v>
      </c>
      <c r="D249" s="591" t="s">
        <v>38</v>
      </c>
      <c r="E249" s="592"/>
      <c r="F249" s="592"/>
      <c r="G249" s="593"/>
      <c r="H249" s="594"/>
      <c r="I249" s="580"/>
      <c r="J249" s="586"/>
      <c r="K249" s="587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588"/>
      <c r="B250" s="589"/>
      <c r="C250" s="589"/>
      <c r="D250" s="192" t="s">
        <v>108</v>
      </c>
      <c r="E250" s="595"/>
      <c r="F250" s="595"/>
      <c r="G250" s="594"/>
      <c r="H250" s="596" t="s">
        <v>35</v>
      </c>
      <c r="I250" s="340">
        <f ca="1">IFERROR(__xludf.DUMMYFUNCTION("IMPORTRANGE(""https://docs.google.com/spreadsheets/d/1eHaY18a8A9IcSdp1K8H6x8fbOy06t2VsZHhMHf-1x7Y/edit?usp=sharing"",""แผน!BG77"")"),0)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588"/>
      <c r="B251" s="589"/>
      <c r="C251" s="589"/>
      <c r="D251" s="597" t="s">
        <v>43</v>
      </c>
      <c r="E251" s="595"/>
      <c r="F251" s="595"/>
      <c r="G251" s="594"/>
      <c r="H251" s="594"/>
      <c r="I251" s="586"/>
      <c r="J251" s="586"/>
      <c r="K251" s="587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588"/>
      <c r="B252" s="589"/>
      <c r="C252" s="589"/>
      <c r="D252" s="589"/>
      <c r="E252" s="598" t="s">
        <v>109</v>
      </c>
      <c r="F252" s="595"/>
      <c r="G252" s="594"/>
      <c r="H252" s="596" t="s">
        <v>35</v>
      </c>
      <c r="I252" s="340">
        <v>0</v>
      </c>
      <c r="J252" s="555">
        <v>0</v>
      </c>
      <c r="K252" s="48">
        <f t="shared" ref="K252:K254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588"/>
      <c r="B253" s="589"/>
      <c r="C253" s="589"/>
      <c r="D253" s="589"/>
      <c r="E253" s="598" t="s">
        <v>110</v>
      </c>
      <c r="F253" s="595"/>
      <c r="G253" s="594"/>
      <c r="H253" s="596" t="s">
        <v>61</v>
      </c>
      <c r="I253" s="340">
        <v>0</v>
      </c>
      <c r="J253" s="555">
        <v>0</v>
      </c>
      <c r="K253" s="48">
        <f t="shared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567"/>
      <c r="B254" s="568"/>
      <c r="C254" s="569" t="s">
        <v>112</v>
      </c>
      <c r="D254" s="570"/>
      <c r="E254" s="570"/>
      <c r="F254" s="570"/>
      <c r="G254" s="571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575"/>
      <c r="B255" s="576"/>
      <c r="C255" s="577" t="s">
        <v>18</v>
      </c>
      <c r="D255" s="599" t="s">
        <v>19</v>
      </c>
      <c r="E255" s="576"/>
      <c r="F255" s="576"/>
      <c r="G255" s="579"/>
      <c r="H255" s="398" t="s">
        <v>14</v>
      </c>
      <c r="I255" s="580"/>
      <c r="J255" s="580"/>
      <c r="K255" s="581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575"/>
      <c r="B256" s="584"/>
      <c r="C256" s="576"/>
      <c r="D256" s="157" t="s">
        <v>86</v>
      </c>
      <c r="E256" s="576"/>
      <c r="F256" s="576"/>
      <c r="G256" s="579"/>
      <c r="H256" s="160" t="s">
        <v>14</v>
      </c>
      <c r="I256" s="580"/>
      <c r="J256" s="580"/>
      <c r="K256" s="581"/>
      <c r="L256" s="519">
        <f ca="1">IFERROR(__xludf.DUMMYFUNCTION("IMPORTRANGE(""https://docs.google.com/spreadsheets/d/1eHaY18a8A9IcSdp1K8H6x8fbOy06t2VsZHhMHf-1x7Y/edit?usp=sharing"",""แผน!BB77"")"),0)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585"/>
      <c r="B257" s="584"/>
      <c r="C257" s="584"/>
      <c r="D257" s="157" t="s">
        <v>88</v>
      </c>
      <c r="E257" s="576"/>
      <c r="F257" s="576"/>
      <c r="G257" s="579"/>
      <c r="H257" s="160" t="s">
        <v>14</v>
      </c>
      <c r="I257" s="586"/>
      <c r="J257" s="586"/>
      <c r="K257" s="587"/>
      <c r="L257" s="519">
        <f ca="1">IFERROR(__xludf.DUMMYFUNCTION("IMPORTRANGE(""https://docs.google.com/spreadsheets/d/1eHaY18a8A9IcSdp1K8H6x8fbOy06t2VsZHhMHf-1x7Y/edit?usp=sharing"",""แผน!BC77"")"),0)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585"/>
      <c r="B258" s="584"/>
      <c r="C258" s="584"/>
      <c r="D258" s="157" t="s">
        <v>106</v>
      </c>
      <c r="E258" s="576"/>
      <c r="F258" s="576"/>
      <c r="G258" s="579"/>
      <c r="H258" s="160" t="s">
        <v>14</v>
      </c>
      <c r="I258" s="586"/>
      <c r="J258" s="586"/>
      <c r="K258" s="587"/>
      <c r="L258" s="519">
        <f ca="1">IFERROR(__xludf.DUMMYFUNCTION("IMPORTRANGE(""https://docs.google.com/spreadsheets/d/1eHaY18a8A9IcSdp1K8H6x8fbOy06t2VsZHhMHf-1x7Y/edit?usp=sharing"",""แผน!BD77"")"),0)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585"/>
      <c r="B259" s="584"/>
      <c r="C259" s="584"/>
      <c r="D259" s="157" t="s">
        <v>107</v>
      </c>
      <c r="E259" s="576"/>
      <c r="F259" s="576"/>
      <c r="G259" s="579"/>
      <c r="H259" s="160" t="s">
        <v>14</v>
      </c>
      <c r="I259" s="586"/>
      <c r="J259" s="586"/>
      <c r="K259" s="587"/>
      <c r="L259" s="519">
        <f ca="1">IFERROR(__xludf.DUMMYFUNCTION("IMPORTRANGE(""https://docs.google.com/spreadsheets/d/1eHaY18a8A9IcSdp1K8H6x8fbOy06t2VsZHhMHf-1x7Y/edit?usp=sharing"",""แผน!BE77"")"),0)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588"/>
      <c r="B260" s="589"/>
      <c r="C260" s="590" t="s">
        <v>18</v>
      </c>
      <c r="D260" s="591" t="s">
        <v>38</v>
      </c>
      <c r="E260" s="592"/>
      <c r="F260" s="592"/>
      <c r="G260" s="593"/>
      <c r="H260" s="594"/>
      <c r="I260" s="580"/>
      <c r="J260" s="586"/>
      <c r="K260" s="587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588"/>
      <c r="B261" s="589"/>
      <c r="C261" s="589"/>
      <c r="D261" s="192" t="s">
        <v>108</v>
      </c>
      <c r="E261" s="595"/>
      <c r="F261" s="595"/>
      <c r="G261" s="594"/>
      <c r="H261" s="596" t="s">
        <v>35</v>
      </c>
      <c r="I261" s="340">
        <f ca="1">IFERROR(__xludf.DUMMYFUNCTION("IMPORTRANGE(""https://docs.google.com/spreadsheets/d/1eHaY18a8A9IcSdp1K8H6x8fbOy06t2VsZHhMHf-1x7Y/edit?usp=sharing"",""แผน!BH77"")"),0)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588"/>
      <c r="B262" s="589"/>
      <c r="C262" s="589"/>
      <c r="D262" s="597" t="s">
        <v>43</v>
      </c>
      <c r="E262" s="595"/>
      <c r="F262" s="595"/>
      <c r="G262" s="594"/>
      <c r="H262" s="594"/>
      <c r="I262" s="586"/>
      <c r="J262" s="586"/>
      <c r="K262" s="587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588"/>
      <c r="B263" s="589"/>
      <c r="C263" s="589"/>
      <c r="D263" s="589"/>
      <c r="E263" s="598" t="s">
        <v>109</v>
      </c>
      <c r="F263" s="595"/>
      <c r="G263" s="594"/>
      <c r="H263" s="596" t="s">
        <v>35</v>
      </c>
      <c r="I263" s="586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588"/>
      <c r="B264" s="589"/>
      <c r="C264" s="589"/>
      <c r="D264" s="589"/>
      <c r="E264" s="598" t="s">
        <v>110</v>
      </c>
      <c r="F264" s="595"/>
      <c r="G264" s="594"/>
      <c r="H264" s="596" t="s">
        <v>61</v>
      </c>
      <c r="I264" s="586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22</v>
      </c>
      <c r="J266" s="613">
        <f t="shared" si="160"/>
        <v>22</v>
      </c>
      <c r="K266" s="614">
        <f ca="1">IF(I266&gt;0,J266*100/I266,0)</f>
        <v>100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50660</v>
      </c>
      <c r="R267" s="626">
        <f t="shared" ca="1" si="164"/>
        <v>50660</v>
      </c>
      <c r="S267" s="626">
        <f t="shared" ca="1" si="164"/>
        <v>3480</v>
      </c>
      <c r="T267" s="626">
        <f t="shared" ref="T267:T275" ca="1" si="165">IF(Q267&gt;0,S267*100/Q267,0)</f>
        <v>6.869324911172523</v>
      </c>
      <c r="U267" s="626">
        <f t="shared" ref="U267:U275" ca="1" si="166">IF(R267&gt;0,S267*100/R267,0)</f>
        <v>6.869324911172523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50660</v>
      </c>
      <c r="R269" s="630">
        <f t="shared" ca="1" si="168"/>
        <v>50660</v>
      </c>
      <c r="S269" s="630">
        <f t="shared" ca="1" si="168"/>
        <v>3480</v>
      </c>
      <c r="T269" s="630">
        <f t="shared" ca="1" si="165"/>
        <v>6.869324911172523</v>
      </c>
      <c r="U269" s="630">
        <f t="shared" ca="1" si="166"/>
        <v>6.869324911172523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50660</v>
      </c>
      <c r="R270" s="630">
        <f t="shared" ca="1" si="170"/>
        <v>50660</v>
      </c>
      <c r="S270" s="630">
        <f t="shared" ca="1" si="170"/>
        <v>3480</v>
      </c>
      <c r="T270" s="630">
        <f t="shared" ca="1" si="165"/>
        <v>6.869324911172523</v>
      </c>
      <c r="U270" s="630">
        <f t="shared" ca="1" si="166"/>
        <v>6.869324911172523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IFERROR(__xludf.DUMMYFUNCTION("IMPORTRANGE(""https://docs.google.com/spreadsheets/d/1-uDff_7J0KD5mKrp0Vvzr7lt3OU09vwQwhkpOPPYv2Y/edit?usp=sharing"",""งบพรบ!DE77"")"),0)</f>
        <v>0</v>
      </c>
      <c r="M272" s="630">
        <f ca="1">IFERROR(__xludf.DUMMYFUNCTION("IMPORTRANGE(""https://docs.google.com/spreadsheets/d/1-uDff_7J0KD5mKrp0Vvzr7lt3OU09vwQwhkpOPPYv2Y/edit?usp=sharing"",""งบพรบ!DJ77"")"),5000)</f>
        <v>5000</v>
      </c>
      <c r="N272" s="630">
        <f ca="1">IFERROR(__xludf.DUMMYFUNCTION("IMPORTRANGE(""https://docs.google.com/spreadsheets/d/1-uDff_7J0KD5mKrp0Vvzr7lt3OU09vwQwhkpOPPYv2Y/edit?usp=sharing"",""งบพรบ!DL77"")"),0)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IFERROR(__xludf.DUMMYFUNCTION("IMPORTRANGE(""https://docs.google.com/spreadsheets/d/1ItG2mGa2ceCfYo0BwxsXqNm01IGEUdYcSSLTEv9YCik/edit?usp=sharing"",""เบิกจ่ายกองทุน!AJ77"")"),50660)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IFERROR(__xludf.DUMMYFUNCTION("IMPORTRANGE(""https://docs.google.com/spreadsheets/d/1ItG2mGa2ceCfYo0BwxsXqNm01IGEUdYcSSLTEv9YCik/edit?usp=sharing"",""เบิกจ่ายกองทุน!AK77"")"),50660)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IFERROR(__xludf.DUMMYFUNCTION("IMPORTRANGE(""https://docs.google.com/spreadsheets/d/1ItG2mGa2ceCfYo0BwxsXqNm01IGEUdYcSSLTEv9YCik/edit?usp=sharing"",""เบิกจ่ายกองทุน!AL77"")"),3480)</f>
        <v>3480</v>
      </c>
      <c r="T272" s="630">
        <f t="shared" ca="1" si="165"/>
        <v>6.869324911172523</v>
      </c>
      <c r="U272" s="630">
        <f t="shared" ca="1" si="166"/>
        <v>6.869324911172523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IFERROR(__xludf.DUMMYFUNCTION("IMPORTRANGE(""https://docs.google.com/spreadsheets/d/1-uDff_7J0KD5mKrp0Vvzr7lt3OU09vwQwhkpOPPYv2Y/edit?usp=sharing"",""งบพรบ!DH77"")"),0)</f>
        <v>0</v>
      </c>
      <c r="M275" s="630">
        <f ca="1">IFERROR(__xludf.DUMMYFUNCTION("IMPORTRANGE(""https://docs.google.com/spreadsheets/d/1-uDff_7J0KD5mKrp0Vvzr7lt3OU09vwQwhkpOPPYv2Y/edit?usp=sharing"",""งบพรบ!DK77"")"),0)</f>
        <v>0</v>
      </c>
      <c r="N275" s="630">
        <f ca="1">IFERROR(__xludf.DUMMYFUNCTION("IMPORTRANGE(""https://docs.google.com/spreadsheets/d/1-uDff_7J0KD5mKrp0Vvzr7lt3OU09vwQwhkpOPPYv2Y/edit?usp=sharing"",""งบพรบ!DM77"")"),0)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IFERROR(__xludf.DUMMYFUNCTION("IMPORTRANGE(""https://docs.google.com/spreadsheets/d/1eHaY18a8A9IcSdp1K8H6x8fbOy06t2VsZHhMHf-1x7Y/edit?usp=sharing"",""แผน!EC77"")"),22)</f>
        <v>22</v>
      </c>
      <c r="J277" s="177">
        <v>22</v>
      </c>
      <c r="K277" s="178">
        <f ca="1">IF(I277&gt;0,J277*100/I277,0)</f>
        <v>100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772"/>
      <c r="B278" s="773"/>
      <c r="C278" s="773"/>
      <c r="D278" s="648" t="s">
        <v>116</v>
      </c>
      <c r="E278" s="774"/>
      <c r="F278" s="774"/>
      <c r="G278" s="775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IFERROR(__xludf.DUMMYFUNCTION("IMPORTRANGE(""https://docs.google.com/spreadsheets/d/1-uDff_7J0KD5mKrp0Vvzr7lt3OU09vwQwhkpOPPYv2Y/edit?usp=sharing"",""งบพรบ!DO77"")"),0)</f>
        <v>0</v>
      </c>
      <c r="M288" s="46">
        <f ca="1">IFERROR(__xludf.DUMMYFUNCTION("IMPORTRANGE(""https://docs.google.com/spreadsheets/d/1-uDff_7J0KD5mKrp0Vvzr7lt3OU09vwQwhkpOPPYv2Y/edit?usp=sharing"",""งบพรบ!DT77"")"),0)</f>
        <v>0</v>
      </c>
      <c r="N288" s="46">
        <f ca="1">IFERROR(__xludf.DUMMYFUNCTION("IMPORTRANGE(""https://docs.google.com/spreadsheets/d/1-uDff_7J0KD5mKrp0Vvzr7lt3OU09vwQwhkpOPPYv2Y/edit?usp=sharing"",""งบพรบ!DV77"")"),0)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IFERROR(__xludf.DUMMYFUNCTION("IMPORTRANGE(""https://docs.google.com/spreadsheets/d/1-uDff_7J0KD5mKrp0Vvzr7lt3OU09vwQwhkpOPPYv2Y/edit?usp=sharing"",""งบพรบ!DR77"")"),0)</f>
        <v>0</v>
      </c>
      <c r="M291" s="46">
        <f ca="1">IFERROR(__xludf.DUMMYFUNCTION("IMPORTRANGE(""https://docs.google.com/spreadsheets/d/1-uDff_7J0KD5mKrp0Vvzr7lt3OU09vwQwhkpOPPYv2Y/edit?usp=sharing"",""งบพรบ!DU77"")"),0)</f>
        <v>0</v>
      </c>
      <c r="N291" s="46">
        <f ca="1">IFERROR(__xludf.DUMMYFUNCTION("IMPORTRANGE(""https://docs.google.com/spreadsheets/d/1-uDff_7J0KD5mKrp0Vvzr7lt3OU09vwQwhkpOPPYv2Y/edit?usp=sharing"",""งบพรบ!DW77"")"),0)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IFERROR(__xludf.DUMMYFUNCTION("IMPORTRANGE(""https://docs.google.com/spreadsheets/d/1eHaY18a8A9IcSdp1K8H6x8fbOy06t2VsZHhMHf-1x7Y/edit?usp=sharing"",""แผน!EE77"")"),0)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IFERROR(__xludf.DUMMYFUNCTION("IMPORTRANGE(""https://docs.google.com/spreadsheets/d/1eHaY18a8A9IcSdp1K8H6x8fbOy06t2VsZHhMHf-1x7Y/edit?usp=sharing"",""แผน!ED77"")"),0)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IFERROR(__xludf.DUMMYFUNCTION("IMPORTRANGE(""https://docs.google.com/spreadsheets/d/1eHaY18a8A9IcSdp1K8H6x8fbOy06t2VsZHhMHf-1x7Y/edit?usp=sharing"",""แผน!ED77"")"),0)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25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229336.17</v>
      </c>
      <c r="R304" s="132">
        <f t="shared" ca="1" si="194"/>
        <v>229336</v>
      </c>
      <c r="S304" s="132">
        <f t="shared" ca="1" si="194"/>
        <v>0</v>
      </c>
      <c r="T304" s="132">
        <f t="shared" ref="T304:T312" ca="1" si="195">IF(Q304&gt;0,S304*100/Q304,0)</f>
        <v>0</v>
      </c>
      <c r="U304" s="132">
        <f t="shared" ref="U304:U312" ca="1" si="196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229336.17</v>
      </c>
      <c r="R306" s="46">
        <f t="shared" ca="1" si="198"/>
        <v>229336</v>
      </c>
      <c r="S306" s="46">
        <f t="shared" ca="1" si="198"/>
        <v>0</v>
      </c>
      <c r="T306" s="46">
        <f t="shared" ca="1" si="195"/>
        <v>0</v>
      </c>
      <c r="U306" s="46">
        <f t="shared" ca="1" si="196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229336.17</v>
      </c>
      <c r="R307" s="46">
        <f t="shared" ca="1" si="200"/>
        <v>229336</v>
      </c>
      <c r="S307" s="46">
        <f t="shared" ca="1" si="200"/>
        <v>0</v>
      </c>
      <c r="T307" s="46">
        <f t="shared" ca="1" si="195"/>
        <v>0</v>
      </c>
      <c r="U307" s="46">
        <f t="shared" ca="1" si="196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IFERROR(__xludf.DUMMYFUNCTION("IMPORTRANGE(""https://docs.google.com/spreadsheets/d/1-uDff_7J0KD5mKrp0Vvzr7lt3OU09vwQwhkpOPPYv2Y/edit?usp=sharing"",""งบพรบ!DY77"")"),0)</f>
        <v>0</v>
      </c>
      <c r="M309" s="46">
        <f ca="1">IFERROR(__xludf.DUMMYFUNCTION("IMPORTRANGE(""https://docs.google.com/spreadsheets/d/1-uDff_7J0KD5mKrp0Vvzr7lt3OU09vwQwhkpOPPYv2Y/edit?usp=sharing"",""งบพรบ!ED77"")"),0)</f>
        <v>0</v>
      </c>
      <c r="N309" s="46">
        <f ca="1">IFERROR(__xludf.DUMMYFUNCTION("IMPORTRANGE(""https://docs.google.com/spreadsheets/d/1-uDff_7J0KD5mKrp0Vvzr7lt3OU09vwQwhkpOPPYv2Y/edit?usp=sharing"",""งบพรบ!EF77"")"),0)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IFERROR(__xludf.DUMMYFUNCTION("IMPORTRANGE(""https://docs.google.com/spreadsheets/d/1ItG2mGa2ceCfYo0BwxsXqNm01IGEUdYcSSLTEv9YCik/edit?usp=sharing"",""เบิกจ่ายกองทุน!AP77"")"),229336.17)</f>
        <v>229336.17</v>
      </c>
      <c r="R309" s="46">
        <f ca="1">IFERROR(__xludf.DUMMYFUNCTION("IMPORTRANGE(""https://docs.google.com/spreadsheets/d/1ItG2mGa2ceCfYo0BwxsXqNm01IGEUdYcSSLTEv9YCik/edit?usp=sharing"",""เบิกจ่ายกองทุน!AQ77"")"),229336)</f>
        <v>229336</v>
      </c>
      <c r="S309" s="46">
        <f ca="1">IFERROR(__xludf.DUMMYFUNCTION("IMPORTRANGE(""https://docs.google.com/spreadsheets/d/1ItG2mGa2ceCfYo0BwxsXqNm01IGEUdYcSSLTEv9YCik/edit?usp=sharing"",""เบิกจ่ายกองทุน!AR77"")"),0)</f>
        <v>0</v>
      </c>
      <c r="T309" s="46">
        <f t="shared" ca="1" si="195"/>
        <v>0</v>
      </c>
      <c r="U309" s="46">
        <f t="shared" ca="1" si="196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IFERROR(__xludf.DUMMYFUNCTION("IMPORTRANGE(""https://docs.google.com/spreadsheets/d/1-uDff_7J0KD5mKrp0Vvzr7lt3OU09vwQwhkpOPPYv2Y/edit?usp=sharing"",""งบพรบ!EB77"")"),0)</f>
        <v>0</v>
      </c>
      <c r="M312" s="46">
        <f ca="1">IFERROR(__xludf.DUMMYFUNCTION("IMPORTRANGE(""https://docs.google.com/spreadsheets/d/1-uDff_7J0KD5mKrp0Vvzr7lt3OU09vwQwhkpOPPYv2Y/edit?usp=sharing"",""งบพรบ!EE77"")"),0)</f>
        <v>0</v>
      </c>
      <c r="N312" s="46">
        <f ca="1">IFERROR(__xludf.DUMMYFUNCTION("IMPORTRANGE(""https://docs.google.com/spreadsheets/d/1-uDff_7J0KD5mKrp0Vvzr7lt3OU09vwQwhkpOPPYv2Y/edit?usp=sharing"",""งบพรบ!EG77"")"),0)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IFERROR(__xludf.DUMMYFUNCTION("IMPORTRANGE(""https://docs.google.com/spreadsheets/d/1eHaY18a8A9IcSdp1K8H6x8fbOy06t2VsZHhMHf-1x7Y/edit?usp=sharing"",""แผน!EF77"")"),25)</f>
        <v>25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0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0</v>
      </c>
      <c r="M321" s="132">
        <f t="shared" ca="1" si="204"/>
        <v>0</v>
      </c>
      <c r="N321" s="132">
        <f t="shared" ca="1" si="204"/>
        <v>0</v>
      </c>
      <c r="O321" s="132">
        <f t="shared" ref="O321:O329" ca="1" si="205">IF(L321&gt;0,N321*100/L321,0)</f>
        <v>0</v>
      </c>
      <c r="P321" s="132">
        <f t="shared" ref="P321:P329" ca="1" si="206">IF(M321&gt;0,N321*100/M321,0)</f>
        <v>0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0</v>
      </c>
      <c r="M323" s="46">
        <f t="shared" ca="1" si="210"/>
        <v>0</v>
      </c>
      <c r="N323" s="46">
        <f t="shared" ca="1" si="210"/>
        <v>0</v>
      </c>
      <c r="O323" s="46">
        <f t="shared" ca="1" si="205"/>
        <v>0</v>
      </c>
      <c r="P323" s="46">
        <f t="shared" ca="1" si="206"/>
        <v>0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0</v>
      </c>
      <c r="M324" s="46">
        <f t="shared" ca="1" si="212"/>
        <v>0</v>
      </c>
      <c r="N324" s="46">
        <f t="shared" ca="1" si="212"/>
        <v>0</v>
      </c>
      <c r="O324" s="46">
        <f t="shared" ca="1" si="205"/>
        <v>0</v>
      </c>
      <c r="P324" s="46">
        <f t="shared" ca="1" si="206"/>
        <v>0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IFERROR(__xludf.DUMMYFUNCTION("IMPORTRANGE(""https://docs.google.com/spreadsheets/d/1-uDff_7J0KD5mKrp0Vvzr7lt3OU09vwQwhkpOPPYv2Y/edit?usp=sharing"",""งบพรบ!EI77"")"),0)</f>
        <v>0</v>
      </c>
      <c r="M326" s="46">
        <f ca="1">IFERROR(__xludf.DUMMYFUNCTION("IMPORTRANGE(""https://docs.google.com/spreadsheets/d/1-uDff_7J0KD5mKrp0Vvzr7lt3OU09vwQwhkpOPPYv2Y/edit?usp=sharing"",""งบพรบ!EN77"")"),0)</f>
        <v>0</v>
      </c>
      <c r="N326" s="46">
        <f ca="1">IFERROR(__xludf.DUMMYFUNCTION("IMPORTRANGE(""https://docs.google.com/spreadsheets/d/1-uDff_7J0KD5mKrp0Vvzr7lt3OU09vwQwhkpOPPYv2Y/edit?usp=sharing"",""งบพรบ!EP77"")"),0)</f>
        <v>0</v>
      </c>
      <c r="O326" s="46">
        <f t="shared" ca="1" si="205"/>
        <v>0</v>
      </c>
      <c r="P326" s="46">
        <f t="shared" ca="1" si="206"/>
        <v>0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IFERROR(__xludf.DUMMYFUNCTION("IMPORTRANGE(""https://docs.google.com/spreadsheets/d/1-uDff_7J0KD5mKrp0Vvzr7lt3OU09vwQwhkpOPPYv2Y/edit?usp=sharing"",""งบพรบ!EL77"")"),0)</f>
        <v>0</v>
      </c>
      <c r="M329" s="46">
        <f ca="1">IFERROR(__xludf.DUMMYFUNCTION("IMPORTRANGE(""https://docs.google.com/spreadsheets/d/1-uDff_7J0KD5mKrp0Vvzr7lt3OU09vwQwhkpOPPYv2Y/edit?usp=sharing"",""งบพรบ!EO77"")"),0)</f>
        <v>0</v>
      </c>
      <c r="N329" s="46">
        <f ca="1">IFERROR(__xludf.DUMMYFUNCTION("IMPORTRANGE(""https://docs.google.com/spreadsheets/d/1-uDff_7J0KD5mKrp0Vvzr7lt3OU09vwQwhkpOPPYv2Y/edit?usp=sharing"",""งบพรบ!EQ77"")"),0)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IFERROR(__xludf.DUMMYFUNCTION("IMPORTRANGE(""https://docs.google.com/spreadsheets/d/1eHaY18a8A9IcSdp1K8H6x8fbOy06t2VsZHhMHf-1x7Y/edit?usp=sharing"",""แผน!EJ77"")"),0)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1140</v>
      </c>
      <c r="J333" s="665">
        <f ca="1">J345+J348+J349+J350+J354</f>
        <v>3949</v>
      </c>
      <c r="K333" s="666">
        <f ca="1">IF(I333&gt;0,J333*100/I333,0)</f>
        <v>346.40350877192981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106000</v>
      </c>
      <c r="M334" s="132">
        <f t="shared" ca="1" si="216"/>
        <v>111000</v>
      </c>
      <c r="N334" s="132">
        <f t="shared" ca="1" si="216"/>
        <v>83776.05</v>
      </c>
      <c r="O334" s="132">
        <f t="shared" ref="O334:O342" ca="1" si="217">IF(L334&gt;0,N334*100/L334,0)</f>
        <v>79.034009433962268</v>
      </c>
      <c r="P334" s="132">
        <f t="shared" ref="P334:P342" ca="1" si="218">IF(M334&gt;0,N334*100/M334,0)</f>
        <v>75.473918918918912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106000</v>
      </c>
      <c r="M336" s="46">
        <f t="shared" ca="1" si="222"/>
        <v>111000</v>
      </c>
      <c r="N336" s="46">
        <f t="shared" ca="1" si="222"/>
        <v>83776.05</v>
      </c>
      <c r="O336" s="46">
        <f t="shared" ca="1" si="217"/>
        <v>79.034009433962268</v>
      </c>
      <c r="P336" s="46">
        <f t="shared" ca="1" si="218"/>
        <v>75.473918918918912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106000</v>
      </c>
      <c r="M337" s="46">
        <f t="shared" ca="1" si="224"/>
        <v>111000</v>
      </c>
      <c r="N337" s="46">
        <f t="shared" ca="1" si="224"/>
        <v>83776.05</v>
      </c>
      <c r="O337" s="46">
        <f t="shared" ca="1" si="217"/>
        <v>79.034009433962268</v>
      </c>
      <c r="P337" s="46">
        <f t="shared" ca="1" si="218"/>
        <v>75.473918918918912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IFERROR(__xludf.DUMMYFUNCTION("IMPORTRANGE(""https://docs.google.com/spreadsheets/d/1-uDff_7J0KD5mKrp0Vvzr7lt3OU09vwQwhkpOPPYv2Y/edit?usp=sharing"",""งบพรบ!ES77"")"),106000)</f>
        <v>106000</v>
      </c>
      <c r="M339" s="46">
        <f ca="1">IFERROR(__xludf.DUMMYFUNCTION("IMPORTRANGE(""https://docs.google.com/spreadsheets/d/1-uDff_7J0KD5mKrp0Vvzr7lt3OU09vwQwhkpOPPYv2Y/edit?usp=sharing"",""งบพรบ!EX77"")"),111000)</f>
        <v>111000</v>
      </c>
      <c r="N339" s="46">
        <f ca="1">IFERROR(__xludf.DUMMYFUNCTION("IMPORTRANGE(""https://docs.google.com/spreadsheets/d/1-uDff_7J0KD5mKrp0Vvzr7lt3OU09vwQwhkpOPPYv2Y/edit?usp=sharing"",""งบพรบ!EZ77"")"),83776.05)</f>
        <v>83776.05</v>
      </c>
      <c r="O339" s="46">
        <f t="shared" ca="1" si="217"/>
        <v>79.034009433962268</v>
      </c>
      <c r="P339" s="46">
        <f t="shared" ca="1" si="218"/>
        <v>75.473918918918912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IFERROR(__xludf.DUMMYFUNCTION("IMPORTRANGE(""https://docs.google.com/spreadsheets/d/1-uDff_7J0KD5mKrp0Vvzr7lt3OU09vwQwhkpOPPYv2Y/edit?usp=sharing"",""งบพรบ!EV77"")"),0)</f>
        <v>0</v>
      </c>
      <c r="M342" s="46">
        <f ca="1">IFERROR(__xludf.DUMMYFUNCTION("IMPORTRANGE(""https://docs.google.com/spreadsheets/d/1-uDff_7J0KD5mKrp0Vvzr7lt3OU09vwQwhkpOPPYv2Y/edit?usp=sharing"",""งบพรบ!EY77"")"),0)</f>
        <v>0</v>
      </c>
      <c r="N342" s="46">
        <f ca="1">IFERROR(__xludf.DUMMYFUNCTION("IMPORTRANGE(""https://docs.google.com/spreadsheets/d/1-uDff_7J0KD5mKrp0Vvzr7lt3OU09vwQwhkpOPPYv2Y/edit?usp=sharing"",""งบพรบ!FA77"")"),0)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2841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IFERROR(__xludf.DUMMYFUNCTION("IMPORTRANGE(""https://docs.google.com/spreadsheets/d/1eHaY18a8A9IcSdp1K8H6x8fbOy06t2VsZHhMHf-1x7Y/edit?usp=sharing"",""แผน!EK77"")"),1140)</f>
        <v>1140</v>
      </c>
      <c r="J345" s="152">
        <f ca="1">IFERROR(__xludf.DUMMYFUNCTION("IMPORTRANGE(""https://docs.google.com/spreadsheets/d/1awYsYK3VOup2i3Pq_Yjnu8DRu_mYwSBnCR2QPthd0rU/edit?usp=sharing"",""ศูนย์ยกเว้นโฉนด!D77"")"),2841)</f>
        <v>2841</v>
      </c>
      <c r="K345" s="46">
        <f ca="1">IF(I345&gt;0,J345*100/I345,0)</f>
        <v>249.21052631578948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IFERROR(__xludf.DUMMYFUNCTION("IMPORTRANGE(""https://docs.google.com/spreadsheets/d/1eHaY18a8A9IcSdp1K8H6x8fbOy06t2VsZHhMHf-1x7Y/edit?usp=sharing"",""แผน!EL77"")"),3)</f>
        <v>3</v>
      </c>
      <c r="J347" s="152">
        <f ca="1">IFERROR(__xludf.DUMMYFUNCTION("IMPORTRANGE(""https://docs.google.com/spreadsheets/d/1awYsYK3VOup2i3Pq_Yjnu8DRu_mYwSBnCR2QPthd0rU/edit?usp=sharing"",""ศูนย์รวม!E77"")"),6)</f>
        <v>6</v>
      </c>
      <c r="K347" s="46">
        <f ca="1">IF(I347&gt;0,J347*100/I347,0)</f>
        <v>200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IFERROR(__xludf.DUMMYFUNCTION("IMPORTRANGE(""https://docs.google.com/spreadsheets/d/1awYsYK3VOup2i3Pq_Yjnu8DRu_mYwSBnCR2QPthd0rU/edit?usp=sharing"",""ศูนย์ยกเว้นโฉนด!F77"")"),0)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5958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IFERROR(__xludf.DUMMYFUNCTION("IMPORTRANGE(""https://docs.google.com/spreadsheets/d/1awYsYK3VOup2i3Pq_Yjnu8DRu_mYwSBnCR2QPthd0rU/edit?usp=sharing"",""โฉนดM3!G77"")"),4850)</f>
        <v>4850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IFERROR(__xludf.DUMMYFUNCTION("IMPORTRANGE(""https://docs.google.com/spreadsheets/d/1awYsYK3VOup2i3Pq_Yjnu8DRu_mYwSBnCR2QPthd0rU/edit?usp=sharing"",""โฉนดM3!H77"")"),1108)</f>
        <v>1108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498260</v>
      </c>
      <c r="M357" s="132">
        <f t="shared" ca="1" si="228"/>
        <v>498260</v>
      </c>
      <c r="N357" s="132">
        <f t="shared" ca="1" si="228"/>
        <v>382999.5</v>
      </c>
      <c r="O357" s="132">
        <f t="shared" ref="O357:O365" ca="1" si="229">IF(L357&gt;0,N357*100/L357,0)</f>
        <v>76.867398546943363</v>
      </c>
      <c r="P357" s="132">
        <f t="shared" ref="P357:P365" ca="1" si="230">IF(M357&gt;0,N357*100/M357,0)</f>
        <v>76.867398546943363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498260</v>
      </c>
      <c r="M359" s="46">
        <f t="shared" ca="1" si="234"/>
        <v>498260</v>
      </c>
      <c r="N359" s="46">
        <f t="shared" ca="1" si="234"/>
        <v>382999.5</v>
      </c>
      <c r="O359" s="46">
        <f t="shared" ca="1" si="229"/>
        <v>76.867398546943363</v>
      </c>
      <c r="P359" s="46">
        <f t="shared" ca="1" si="230"/>
        <v>76.867398546943363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498260</v>
      </c>
      <c r="M360" s="46">
        <f t="shared" ca="1" si="236"/>
        <v>498260</v>
      </c>
      <c r="N360" s="46">
        <f t="shared" ca="1" si="236"/>
        <v>382999.5</v>
      </c>
      <c r="O360" s="46">
        <f t="shared" ca="1" si="229"/>
        <v>76.867398546943363</v>
      </c>
      <c r="P360" s="46">
        <f t="shared" ca="1" si="230"/>
        <v>76.867398546943363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IFERROR(__xludf.DUMMYFUNCTION("IMPORTRANGE(""https://docs.google.com/spreadsheets/d/1-uDff_7J0KD5mKrp0Vvzr7lt3OU09vwQwhkpOPPYv2Y/edit?usp=sharing"",""งบพรบ!FC77"")"),498260)</f>
        <v>498260</v>
      </c>
      <c r="M362" s="46">
        <f ca="1">IFERROR(__xludf.DUMMYFUNCTION("IMPORTRANGE(""https://docs.google.com/spreadsheets/d/1-uDff_7J0KD5mKrp0Vvzr7lt3OU09vwQwhkpOPPYv2Y/edit?usp=sharing"",""งบพรบ!FH77"")"),498260)</f>
        <v>498260</v>
      </c>
      <c r="N362" s="46">
        <f ca="1">IFERROR(__xludf.DUMMYFUNCTION("IMPORTRANGE(""https://docs.google.com/spreadsheets/d/1-uDff_7J0KD5mKrp0Vvzr7lt3OU09vwQwhkpOPPYv2Y/edit?usp=sharing"",""งบพรบ!FJ77"")"),382999.5)</f>
        <v>382999.5</v>
      </c>
      <c r="O362" s="46">
        <f t="shared" ca="1" si="229"/>
        <v>76.867398546943363</v>
      </c>
      <c r="P362" s="46">
        <f t="shared" ca="1" si="230"/>
        <v>76.867398546943363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IFERROR(__xludf.DUMMYFUNCTION("IMPORTRANGE(""https://docs.google.com/spreadsheets/d/1-uDff_7J0KD5mKrp0Vvzr7lt3OU09vwQwhkpOPPYv2Y/edit?usp=sharing"",""งบพรบ!FF77"")"),0)</f>
        <v>0</v>
      </c>
      <c r="M365" s="46">
        <f ca="1">IFERROR(__xludf.DUMMYFUNCTION("IMPORTRANGE(""https://docs.google.com/spreadsheets/d/1-uDff_7J0KD5mKrp0Vvzr7lt3OU09vwQwhkpOPPYv2Y/edit?usp=sharing"",""งบพรบ!FI77"")"),0)</f>
        <v>0</v>
      </c>
      <c r="N365" s="46">
        <f ca="1">IFERROR(__xludf.DUMMYFUNCTION("IMPORTRANGE(""https://docs.google.com/spreadsheets/d/1-uDff_7J0KD5mKrp0Vvzr7lt3OU09vwQwhkpOPPYv2Y/edit?usp=sharing"",""งบพรบ!FK77"")"),0)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63</v>
      </c>
      <c r="J366" s="235">
        <f t="shared" ca="1" si="240"/>
        <v>76</v>
      </c>
      <c r="K366" s="236">
        <f ca="1">IF(I366&gt;0,J366*100/I366,0)</f>
        <v>120.63492063492063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IFERROR(__xludf.DUMMYFUNCTION("IMPORTRANGE(""https://docs.google.com/spreadsheets/d/1tdoBKaGub7dwA3U6UFTqxio9LNnvDCQjHKmttSEBsFQ/edit?usp=sharing"",""จัดที่ดิน!AB77"")"),146)</f>
        <v>146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IFERROR(__xludf.DUMMYFUNCTION("IMPORTRANGE(""https://docs.google.com/spreadsheets/d/1eHaY18a8A9IcSdp1K8H6x8fbOy06t2VsZHhMHf-1x7Y/edit?usp=sharing"",""แผน!EW77"")"),490)</f>
        <v>490</v>
      </c>
      <c r="J369" s="676">
        <f ca="1">IFERROR(__xludf.DUMMYFUNCTION("IMPORTRANGE(""https://docs.google.com/spreadsheets/d/1tdoBKaGub7dwA3U6UFTqxio9LNnvDCQjHKmttSEBsFQ/edit?usp=sharing"",""จัดที่ดิน!AC77"")"),1320.25)</f>
        <v>1320.25</v>
      </c>
      <c r="K369" s="46">
        <f t="shared" ca="1" si="241"/>
        <v>269.4387755102041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IFERROR(__xludf.DUMMYFUNCTION("IMPORTRANGE(""https://docs.google.com/spreadsheets/d/1eHaY18a8A9IcSdp1K8H6x8fbOy06t2VsZHhMHf-1x7Y/edit?usp=sharing"",""แผน!EX77"")"),88)</f>
        <v>88</v>
      </c>
      <c r="J370" s="152">
        <f ca="1">IFERROR(__xludf.DUMMYFUNCTION("IMPORTRANGE(""https://docs.google.com/spreadsheets/d/1tdoBKaGub7dwA3U6UFTqxio9LNnvDCQjHKmttSEBsFQ/edit?usp=sharing"",""จัดที่ดิน!AD77"")"),84)</f>
        <v>84</v>
      </c>
      <c r="K370" s="46">
        <f t="shared" ca="1" si="241"/>
        <v>95.454545454545453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IFERROR(__xludf.DUMMYFUNCTION("IMPORTRANGE(""https://docs.google.com/spreadsheets/d/1tdoBKaGub7dwA3U6UFTqxio9LNnvDCQjHKmttSEBsFQ/edit?usp=sharing"",""จัดที่ดิน!AE77"")"),984.969999999999)</f>
        <v>984.969999999999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IFERROR(__xludf.DUMMYFUNCTION("IMPORTRANGE(""https://docs.google.com/spreadsheets/d/1eHaY18a8A9IcSdp1K8H6x8fbOy06t2VsZHhMHf-1x7Y/edit?usp=sharing"",""แผน!EY77"")"),63)</f>
        <v>63</v>
      </c>
      <c r="J372" s="152">
        <f ca="1">IFERROR(__xludf.DUMMYFUNCTION("IMPORTRANGE(""https://docs.google.com/spreadsheets/d/1tdoBKaGub7dwA3U6UFTqxio9LNnvDCQjHKmttSEBsFQ/edit?usp=sharing"",""จัดที่ดิน!AF77"")"),76)</f>
        <v>76</v>
      </c>
      <c r="K372" s="46">
        <f t="shared" ca="1" si="241"/>
        <v>120.63492063492063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IFERROR(__xludf.DUMMYFUNCTION("IMPORTRANGE(""https://docs.google.com/spreadsheets/d/1tdoBKaGub7dwA3U6UFTqxio9LNnvDCQjHKmttSEBsFQ/edit?usp=sharing"",""จัดที่ดิน!AG77"")"),919.17)</f>
        <v>919.17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1000</v>
      </c>
      <c r="J375" s="684">
        <f t="shared" ca="1" si="242"/>
        <v>322</v>
      </c>
      <c r="K375" s="685">
        <f ca="1">IF(I375&gt;0,J375*100/I375,0)</f>
        <v>32.200000000000003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62500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62500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62500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IFERROR(__xludf.DUMMYFUNCTION("IMPORTRANGE(""https://docs.google.com/spreadsheets/d/1ItG2mGa2ceCfYo0BwxsXqNm01IGEUdYcSSLTEv9YCik/edit?usp=sharing"",""เบิกจ่ายกองทุน!AY77"")"),62500)</f>
        <v>62500</v>
      </c>
      <c r="R381" s="46">
        <f ca="1">IFERROR(__xludf.DUMMYFUNCTION("IMPORTRANGE(""https://docs.google.com/spreadsheets/d/1ItG2mGa2ceCfYo0BwxsXqNm01IGEUdYcSSLTEv9YCik/edit?usp=sharing"",""เบิกจ่ายกองทุน!AZ77"")"),0)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IFERROR(__xludf.DUMMYFUNCTION("IMPORTRANGE(""https://docs.google.com/spreadsheets/d/1ItG2mGa2ceCfYo0BwxsXqNm01IGEUdYcSSLTEv9YCik/edit?usp=sharing"",""เบิกจ่ายกองทุน!BA77"")"),0)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IFERROR(__xludf.DUMMYFUNCTION("IMPORTRANGE(""https://docs.google.com/spreadsheets/d/1w5rwWK1o49a35cNtocGL0gxDwhFSTZUQu90BiH9_zqM/edit?usp=sharing"",""RTK!H77"")"),20)</f>
        <v>20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IFERROR(__xludf.DUMMYFUNCTION("IMPORTRANGE(""https://docs.google.com/spreadsheets/d/1w5rwWK1o49a35cNtocGL0gxDwhFSTZUQu90BiH9_zqM/edit?usp=sharing"",""RTK!G77"")"),1000)</f>
        <v>1000</v>
      </c>
      <c r="J387" s="152">
        <f ca="1">IFERROR(__xludf.DUMMYFUNCTION("IMPORTRANGE(""https://docs.google.com/spreadsheets/d/1w5rwWK1o49a35cNtocGL0gxDwhFSTZUQu90BiH9_zqM/edit?usp=sharing"",""RTK!I77"")"),322)</f>
        <v>322</v>
      </c>
      <c r="K387" s="46">
        <f t="shared" ca="1" si="255"/>
        <v>32.200000000000003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IFERROR(__xludf.DUMMYFUNCTION("IMPORTRANGE(""https://docs.google.com/spreadsheets/d/1w5rwWK1o49a35cNtocGL0gxDwhFSTZUQu90BiH9_zqM/edit?usp=sharing"",""RTK!L77"")"),0)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IFERROR(__xludf.DUMMYFUNCTION("IMPORTRANGE(""https://docs.google.com/spreadsheets/d/1w5rwWK1o49a35cNtocGL0gxDwhFSTZUQu90BiH9_zqM/edit?usp=sharing"",""RTK!K77"")"),0)</f>
        <v>0</v>
      </c>
      <c r="J389" s="691">
        <f ca="1">IFERROR(__xludf.DUMMYFUNCTION("IMPORTRANGE(""https://docs.google.com/spreadsheets/d/1w5rwWK1o49a35cNtocGL0gxDwhFSTZUQu90BiH9_zqM/edit?usp=sharing"",""RTK!M77"")"),0)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IFERROR(__xludf.DUMMYFUNCTION("IMPORTRANGE(""https://docs.google.com/spreadsheets/d/1ItG2mGa2ceCfYo0BwxsXqNm01IGEUdYcSSLTEv9YCik/edit?usp=sharing"",""เบิกจ่ายกองทุน!BH77"")"),0)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IFERROR(__xludf.DUMMYFUNCTION("IMPORTRANGE(""https://docs.google.com/spreadsheets/d/1ItG2mGa2ceCfYo0BwxsXqNm01IGEUdYcSSLTEv9YCik/edit?usp=sharing"",""เบิกจ่ายกองทุน!BI77"")"),0)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IFERROR(__xludf.DUMMYFUNCTION("IMPORTRANGE(""https://docs.google.com/spreadsheets/d/1ItG2mGa2ceCfYo0BwxsXqNm01IGEUdYcSSLTEv9YCik/edit?usp=sharing"",""เบิกจ่ายกองทุน!BJ77"")"),0)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IFERROR(__xludf.DUMMYFUNCTION("IMPORTRANGE(""https://docs.google.com/spreadsheets/d/1eHaY18a8A9IcSdp1K8H6x8fbOy06t2VsZHhMHf-1x7Y/edit?usp=sharing"",""แผน!HJ77"")"),0)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IFERROR(__xludf.DUMMYFUNCTION("IMPORTRANGE(""https://docs.google.com/spreadsheets/d/1eHaY18a8A9IcSdp1K8H6x8fbOy06t2VsZHhMHf-1x7Y/edit?usp=sharing"",""แผน!HK77"")"),0)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IFERROR(__xludf.DUMMYFUNCTION("IMPORTRANGE(""https://docs.google.com/spreadsheets/d/1eHaY18a8A9IcSdp1K8H6x8fbOy06t2VsZHhMHf-1x7Y/edit?usp=sharing"",""แผน!HJ77"")"),0)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IFERROR(__xludf.DUMMYFUNCTION("IMPORTRANGE(""https://docs.google.com/spreadsheets/d/1eHaY18a8A9IcSdp1K8H6x8fbOy06t2VsZHhMHf-1x7Y/edit?usp=sharing"",""แผน!HK77"")"),0)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IFERROR(__xludf.DUMMYFUNCTION("IMPORTRANGE(""https://docs.google.com/spreadsheets/d/1eHaY18a8A9IcSdp1K8H6x8fbOy06t2VsZHhMHf-1x7Y/edit?usp=sharing"",""แผน!HJ77"")"),0)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IFERROR(__xludf.DUMMYFUNCTION("IMPORTRANGE(""https://docs.google.com/spreadsheets/d/1eHaY18a8A9IcSdp1K8H6x8fbOy06t2VsZHhMHf-1x7Y/edit?usp=sharing"",""แผน!HK77"")"),0)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IFERROR(__xludf.DUMMYFUNCTION("IMPORTRANGE(""https://docs.google.com/spreadsheets/d/1eHaY18a8A9IcSdp1K8H6x8fbOy06t2VsZHhMHf-1x7Y/edit?usp=sharing"",""แผน!HL77"")"),0)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IFERROR(__xludf.DUMMYFUNCTION("IMPORTRANGE(""https://docs.google.com/spreadsheets/d/1eHaY18a8A9IcSdp1K8H6x8fbOy06t2VsZHhMHf-1x7Y/edit?usp=sharing"",""แผน!HM77"")"),0)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IFERROR(__xludf.DUMMYFUNCTION("IMPORTRANGE(""https://docs.google.com/spreadsheets/d/1eHaY18a8A9IcSdp1K8H6x8fbOy06t2VsZHhMHf-1x7Y/edit?usp=sharing"",""แผน!HN77"")"),0)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IFERROR(__xludf.DUMMYFUNCTION("IMPORTRANGE(""https://docs.google.com/spreadsheets/d/1eHaY18a8A9IcSdp1K8H6x8fbOy06t2VsZHhMHf-1x7Y/edit?usp=sharing"",""แผน!HO77"")"),0)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0</v>
      </c>
      <c r="R494" s="132">
        <f t="shared" ca="1" si="304"/>
        <v>0</v>
      </c>
      <c r="S494" s="132">
        <f t="shared" ca="1" si="304"/>
        <v>0</v>
      </c>
      <c r="T494" s="132">
        <f t="shared" ref="T494:T502" ca="1" si="305">IF(Q494&gt;0,S494*100/Q494,0)</f>
        <v>0</v>
      </c>
      <c r="U494" s="132">
        <f t="shared" ref="U494:U502" ca="1" si="306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0</v>
      </c>
      <c r="R496" s="46">
        <f t="shared" ca="1" si="308"/>
        <v>0</v>
      </c>
      <c r="S496" s="46">
        <f t="shared" ca="1" si="308"/>
        <v>0</v>
      </c>
      <c r="T496" s="46">
        <f t="shared" ca="1" si="305"/>
        <v>0</v>
      </c>
      <c r="U496" s="46">
        <f t="shared" ca="1" si="306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0</v>
      </c>
      <c r="R497" s="46">
        <f t="shared" ca="1" si="310"/>
        <v>0</v>
      </c>
      <c r="S497" s="46">
        <f t="shared" ca="1" si="310"/>
        <v>0</v>
      </c>
      <c r="T497" s="46">
        <f t="shared" ca="1" si="305"/>
        <v>0</v>
      </c>
      <c r="U497" s="46">
        <f t="shared" ca="1" si="306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IFERROR(__xludf.DUMMYFUNCTION("IMPORTRANGE(""https://docs.google.com/spreadsheets/d/1ItG2mGa2ceCfYo0BwxsXqNm01IGEUdYcSSLTEv9YCik/edit?usp=sharing"",""เบิกจ่ายกองทุน!X77"")"),0)</f>
        <v>0</v>
      </c>
      <c r="R499" s="46">
        <f ca="1">IFERROR(__xludf.DUMMYFUNCTION("IMPORTRANGE(""https://docs.google.com/spreadsheets/d/1ItG2mGa2ceCfYo0BwxsXqNm01IGEUdYcSSLTEv9YCik/edit?usp=sharing"",""เบิกจ่ายกองทุน!Y77"")"),0)</f>
        <v>0</v>
      </c>
      <c r="S499" s="46">
        <f ca="1">IFERROR(__xludf.DUMMYFUNCTION("IMPORTRANGE(""https://docs.google.com/spreadsheets/d/1ItG2mGa2ceCfYo0BwxsXqNm01IGEUdYcSSLTEv9YCik/edit?usp=sharing"",""เบิกจ่ายกองทุน!Z77"")"),0)</f>
        <v>0</v>
      </c>
      <c r="T499" s="46">
        <f t="shared" ca="1" si="305"/>
        <v>0</v>
      </c>
      <c r="U499" s="46">
        <f t="shared" ca="1" si="306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IFERROR(__xludf.DUMMYFUNCTION("IMPORTRANGE(""https://docs.google.com/spreadsheets/d/1eHaY18a8A9IcSdp1K8H6x8fbOy06t2VsZHhMHf-1x7Y/edit?usp=sharing"",""แผน!GX77"")"),0)</f>
        <v>0</v>
      </c>
      <c r="J504" s="147">
        <f ca="1">IF(AND(J505=I505,J506=I506,J507=I507,J508=I508),I504,0)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IFERROR(__xludf.DUMMYFUNCTION("IMPORTRANGE(""https://docs.google.com/spreadsheets/d/1eHaY18a8A9IcSdp1K8H6x8fbOy06t2VsZHhMHf-1x7Y/edit?usp=sharing"",""แผน!GY77"")"),0)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IFERROR(__xludf.DUMMYFUNCTION("IMPORTRANGE(""https://docs.google.com/spreadsheets/d/1eHaY18a8A9IcSdp1K8H6x8fbOy06t2VsZHhMHf-1x7Y/edit?usp=sharing"",""แผน!GZ77"")"),0)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IFERROR(__xludf.DUMMYFUNCTION("IMPORTRANGE(""https://docs.google.com/spreadsheets/d/1eHaY18a8A9IcSdp1K8H6x8fbOy06t2VsZHhMHf-1x7Y/edit?usp=sharing"",""แผน!HA77"")"),0)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IFERROR(__xludf.DUMMYFUNCTION("IMPORTRANGE(""https://docs.google.com/spreadsheets/d/1eHaY18a8A9IcSdp1K8H6x8fbOy06t2VsZHhMHf-1x7Y/edit?usp=sharing"",""แผน!HB77"")"),0)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IFERROR(__xludf.DUMMYFUNCTION("IMPORTRANGE(""https://docs.google.com/spreadsheets/d/1eHaY18a8A9IcSdp1K8H6x8fbOy06t2VsZHhMHf-1x7Y/edit?usp=sharing"",""แผน!HC77"")"),0)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4">I525</f>
        <v>0</v>
      </c>
      <c r="J513" s="766">
        <f t="shared" si="314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5">L515+L516</f>
        <v>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1"/>
        <v>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IFERROR(__xludf.DUMMYFUNCTION("IMPORTRANGE(""https://docs.google.com/spreadsheets/d/1-uDff_7J0KD5mKrp0Vvzr7lt3OU09vwQwhkpOPPYv2Y/edit?usp=sharing"",""งบพรบ!FM77"")"),0)</f>
        <v>0</v>
      </c>
      <c r="M519" s="46">
        <f ca="1">IFERROR(__xludf.DUMMYFUNCTION("IMPORTRANGE(""https://docs.google.com/spreadsheets/d/1-uDff_7J0KD5mKrp0Vvzr7lt3OU09vwQwhkpOPPYv2Y/edit?usp=sharing"",""งบพรบ!FR77"")"),0)</f>
        <v>0</v>
      </c>
      <c r="N519" s="46">
        <f ca="1">IFERROR(__xludf.DUMMYFUNCTION("IMPORTRANGE(""https://docs.google.com/spreadsheets/d/1-uDff_7J0KD5mKrp0Vvzr7lt3OU09vwQwhkpOPPYv2Y/edit?usp=sharing"",""งบพรบ!FT77"")"),0)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5">L521+L522</f>
        <v>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IFERROR(__xludf.DUMMYFUNCTION("IMPORTRANGE(""https://docs.google.com/spreadsheets/d/1-uDff_7J0KD5mKrp0Vvzr7lt3OU09vwQwhkpOPPYv2Y/edit?usp=sharing"",""งบพรบ!FP77"")"),0)</f>
        <v>0</v>
      </c>
      <c r="M522" s="46">
        <f ca="1">IFERROR(__xludf.DUMMYFUNCTION("IMPORTRANGE(""https://docs.google.com/spreadsheets/d/1-uDff_7J0KD5mKrp0Vvzr7lt3OU09vwQwhkpOPPYv2Y/edit?usp=sharing"",""งบพรบ!FS77"")"),0)</f>
        <v>0</v>
      </c>
      <c r="N522" s="46">
        <f ca="1">IFERROR(__xludf.DUMMYFUNCTION("IMPORTRANGE(""https://docs.google.com/spreadsheets/d/1-uDff_7J0KD5mKrp0Vvzr7lt3OU09vwQwhkpOPPYv2Y/edit?usp=sharing"",""งบพรบ!FU77"")"),0)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50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7350</v>
      </c>
      <c r="R617" s="132">
        <f t="shared" ca="1" si="383"/>
        <v>7350</v>
      </c>
      <c r="S617" s="132">
        <f t="shared" ca="1" si="383"/>
        <v>1600</v>
      </c>
      <c r="T617" s="132">
        <f t="shared" ref="T617:T625" ca="1" si="384">IF(Q617&gt;0,S617*100/Q617,0)</f>
        <v>21.768707482993197</v>
      </c>
      <c r="U617" s="132">
        <f t="shared" ref="U617:U625" ca="1" si="385">IF(R617&gt;0,S617*100/R617,0)</f>
        <v>21.768707482993197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7350</v>
      </c>
      <c r="R619" s="46">
        <f t="shared" ca="1" si="387"/>
        <v>7350</v>
      </c>
      <c r="S619" s="46">
        <f t="shared" ca="1" si="387"/>
        <v>1600</v>
      </c>
      <c r="T619" s="46">
        <f t="shared" ca="1" si="384"/>
        <v>21.768707482993197</v>
      </c>
      <c r="U619" s="46">
        <f t="shared" ca="1" si="385"/>
        <v>21.768707482993197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7350</v>
      </c>
      <c r="R620" s="46">
        <f t="shared" ca="1" si="389"/>
        <v>7350</v>
      </c>
      <c r="S620" s="46">
        <f t="shared" ca="1" si="389"/>
        <v>1600</v>
      </c>
      <c r="T620" s="46">
        <f t="shared" ca="1" si="384"/>
        <v>21.768707482993197</v>
      </c>
      <c r="U620" s="46">
        <f t="shared" ca="1" si="385"/>
        <v>21.768707482993197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IFERROR(__xludf.DUMMYFUNCTION("IMPORTRANGE(""https://docs.google.com/spreadsheets/d/1ItG2mGa2ceCfYo0BwxsXqNm01IGEUdYcSSLTEv9YCik/edit?usp=sharing"",""เบิกจ่ายกองทุน!F77"")"),7350)</f>
        <v>7350</v>
      </c>
      <c r="R622" s="46">
        <f ca="1">IFERROR(__xludf.DUMMYFUNCTION("IMPORTRANGE(""https://docs.google.com/spreadsheets/d/1ItG2mGa2ceCfYo0BwxsXqNm01IGEUdYcSSLTEv9YCik/edit?usp=sharing"",""เบิกจ่ายกองทุน!G77"")"),7350)</f>
        <v>7350</v>
      </c>
      <c r="S622" s="46">
        <f ca="1">IFERROR(__xludf.DUMMYFUNCTION("IMPORTRANGE(""https://docs.google.com/spreadsheets/d/1ItG2mGa2ceCfYo0BwxsXqNm01IGEUdYcSSLTEv9YCik/edit?usp=sharing"",""เบิกจ่ายกองทุน!H77"")"),1600)</f>
        <v>1600</v>
      </c>
      <c r="T622" s="46">
        <f t="shared" ca="1" si="384"/>
        <v>21.768707482993197</v>
      </c>
      <c r="U622" s="46">
        <f t="shared" ca="1" si="385"/>
        <v>21.768707482993197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IFERROR(__xludf.DUMMYFUNCTION("IMPORTRANGE(""https://docs.google.com/spreadsheets/d/1eHaY18a8A9IcSdp1K8H6x8fbOy06t2VsZHhMHf-1x7Y/edit?usp=sharing"",""แผน!ID77"")"),50)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8">
        <v>1</v>
      </c>
      <c r="K628" s="46">
        <f t="shared" ref="K628:K629" ca="1" si="392">IF(I628&gt;0,(J628*100)/I628,0)</f>
        <v>100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IFERROR(__xludf.DUMMYFUNCTION("IMPORTRANGE(""https://docs.google.com/spreadsheets/d/1eHaY18a8A9IcSdp1K8H6x8fbOy06t2VsZHhMHf-1x7Y/edit?usp=sharing"",""แผน!IC77"")"),1)</f>
        <v>1</v>
      </c>
      <c r="J629" s="168">
        <v>1</v>
      </c>
      <c r="K629" s="46">
        <f t="shared" ca="1" si="392"/>
        <v>100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IFERROR(__xludf.DUMMYFUNCTION("IMPORTRANGE(""https://docs.google.com/spreadsheets/d/1eHaY18a8A9IcSdp1K8H6x8fbOy06t2VsZHhMHf-1x7Y/edit?usp=sharing"",""แผน!IE77"")"),0)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0</v>
      </c>
      <c r="R643" s="132">
        <f t="shared" ca="1" si="397"/>
        <v>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0</v>
      </c>
      <c r="R645" s="46">
        <f t="shared" ca="1" si="401"/>
        <v>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0</v>
      </c>
      <c r="R646" s="46">
        <f t="shared" ca="1" si="403"/>
        <v>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IFERROR(__xludf.DUMMYFUNCTION("IMPORTRANGE(""https://docs.google.com/spreadsheets/d/1ItG2mGa2ceCfYo0BwxsXqNm01IGEUdYcSSLTEv9YCik/edit?usp=sharing"",""เบิกจ่ายกองทุน!I77"")"),0)</f>
        <v>0</v>
      </c>
      <c r="R648" s="46">
        <f ca="1">IFERROR(__xludf.DUMMYFUNCTION("IMPORTRANGE(""https://docs.google.com/spreadsheets/d/1ItG2mGa2ceCfYo0BwxsXqNm01IGEUdYcSSLTEv9YCik/edit?usp=sharing"",""เบิกจ่ายกองทุน!J77"")"),0)</f>
        <v>0</v>
      </c>
      <c r="S648" s="46">
        <f ca="1">IFERROR(__xludf.DUMMYFUNCTION("IMPORTRANGE(""https://docs.google.com/spreadsheets/d/1ItG2mGa2ceCfYo0BwxsXqNm01IGEUdYcSSLTEv9YCik/edit?usp=sharing"",""เบิกจ่ายกองทุน!K77"")"),0)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IFERROR(__xludf.DUMMYFUNCTION("IMPORTRANGE(""https://docs.google.com/spreadsheets/d/1eHaY18a8A9IcSdp1K8H6x8fbOy06t2VsZHhMHf-1x7Y/edit?usp=sharing"",""แผน!IF77"")"),0)</f>
        <v>0</v>
      </c>
      <c r="J653" s="152">
        <f ca="1">IFERROR(__xludf.DUMMYFUNCTION("IMPORTRANGE(""https://docs.google.com/spreadsheets/d/1tdoBKaGub7dwA3U6UFTqxio9LNnvDCQjHKmttSEBsFQ/edit?usp=sharing"",""จัดที่ดิน!AU77"")"),0)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IFERROR(__xludf.DUMMYFUNCTION("IMPORTRANGE(""https://docs.google.com/spreadsheets/d/1eHaY18a8A9IcSdp1K8H6x8fbOy06t2VsZHhMHf-1x7Y/edit?usp=sharing"",""แผน!IG77"")"),0)</f>
        <v>0</v>
      </c>
      <c r="J654" s="152">
        <f ca="1">IFERROR(__xludf.DUMMYFUNCTION("IMPORTRANGE(""https://docs.google.com/spreadsheets/d/1tdoBKaGub7dwA3U6UFTqxio9LNnvDCQjHKmttSEBsFQ/edit?usp=sharing"",""จัดที่ดิน!AW77"")"),0)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IFERROR(__xludf.DUMMYFUNCTION("IMPORTRANGE(""https://docs.google.com/spreadsheets/d/1eHaY18a8A9IcSdp1K8H6x8fbOy06t2VsZHhMHf-1x7Y/edit?usp=sharing"",""แผน!IH77"")"),0)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IFERROR(__xludf.DUMMYFUNCTION("IMPORTRANGE(""https://docs.google.com/spreadsheets/d/1eHaY18a8A9IcSdp1K8H6x8fbOy06t2VsZHhMHf-1x7Y/edit?usp=sharing"",""แผน!II77"")"),0)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IFERROR(__xludf.DUMMYFUNCTION("IMPORTRANGE(""https://docs.google.com/spreadsheets/d/1eHaY18a8A9IcSdp1K8H6x8fbOy06t2VsZHhMHf-1x7Y/edit?usp=sharing"",""แผน!IJ77"")"),0)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IFERROR(__xludf.DUMMYFUNCTION("IMPORTRANGE(""https://docs.google.com/spreadsheets/d/1eHaY18a8A9IcSdp1K8H6x8fbOy06t2VsZHhMHf-1x7Y/edit?usp=sharing"",""แผน!IK77"")"),0)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IFERROR(__xludf.DUMMYFUNCTION("IMPORTRANGE(""https://docs.google.com/spreadsheets/d/1tdoBKaGub7dwA3U6UFTqxio9LNnvDCQjHKmttSEBsFQ/edit?usp=sharing"",""จัดที่ดิน!AY77"")"),0)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IFERROR(__xludf.DUMMYFUNCTION("IMPORTRANGE(""https://docs.google.com/spreadsheets/d/1tdoBKaGub7dwA3U6UFTqxio9LNnvDCQjHKmttSEBsFQ/edit?usp=sharing"",""จัดที่ดิน!AZ77"")"),0)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IFERROR(__xludf.DUMMYFUNCTION("IMPORTRANGE(""https://docs.google.com/spreadsheets/d/1eHaY18a8A9IcSdp1K8H6x8fbOy06t2VsZHhMHf-1x7Y/edit?usp=sharing"",""แผน!IL77"")"),0)</f>
        <v>0</v>
      </c>
      <c r="J674" s="152">
        <f ca="1">IFERROR(__xludf.DUMMYFUNCTION("IMPORTRANGE(""https://docs.google.com/spreadsheets/d/1tdoBKaGub7dwA3U6UFTqxio9LNnvDCQjHKmttSEBsFQ/edit?usp=sharing"",""จัดที่ดิน!BA77"")"),0)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IFERROR(__xludf.DUMMYFUNCTION("IMPORTRANGE(""https://docs.google.com/spreadsheets/d/1eHaY18a8A9IcSdp1K8H6x8fbOy06t2VsZHhMHf-1x7Y/edit?usp=sharing"",""แผน!IM77"")"),0)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IFERROR(__xludf.DUMMYFUNCTION("IMPORTRANGE(""https://docs.google.com/spreadsheets/d/1eHaY18a8A9IcSdp1K8H6x8fbOy06t2VsZHhMHf-1x7Y/edit?usp=sharing"",""แผน!IN77"")"),0)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IFERROR(__xludf.DUMMYFUNCTION("IMPORTRANGE(""https://docs.google.com/spreadsheets/d/1eHaY18a8A9IcSdp1K8H6x8fbOy06t2VsZHhMHf-1x7Y/edit?usp=sharing"",""แผน!IO77"")"),0)</f>
        <v>0</v>
      </c>
      <c r="J677" s="152">
        <f ca="1">IFERROR(__xludf.DUMMYFUNCTION("IMPORTRANGE(""https://docs.google.com/spreadsheets/d/1tdoBKaGub7dwA3U6UFTqxio9LNnvDCQjHKmttSEBsFQ/edit?usp=sharing"",""จัดที่ดิน!BF77"")"),0)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IFERROR(__xludf.DUMMYFUNCTION("IMPORTRANGE(""https://docs.google.com/spreadsheets/d/1tdoBKaGub7dwA3U6UFTqxio9LNnvDCQjHKmttSEBsFQ/edit?usp=sharing"",""จัดที่ดิน!BG77"")"),0)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IFERROR(__xludf.DUMMYFUNCTION("IMPORTRANGE(""https://docs.google.com/spreadsheets/d/1eHaY18a8A9IcSdp1K8H6x8fbOy06t2VsZHhMHf-1x7Y/edit?usp=sharing"",""แผน!IP77"")"),0)</f>
        <v>0</v>
      </c>
      <c r="J679" s="152">
        <f ca="1">IFERROR(__xludf.DUMMYFUNCTION("IMPORTRANGE(""https://docs.google.com/spreadsheets/d/1tdoBKaGub7dwA3U6UFTqxio9LNnvDCQjHKmttSEBsFQ/edit?usp=sharing"",""จัดที่ดิน!BH77"")"),0)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IFERROR(__xludf.DUMMYFUNCTION("IMPORTRANGE(""https://docs.google.com/spreadsheets/d/1eHaY18a8A9IcSdp1K8H6x8fbOy06t2VsZHhMHf-1x7Y/edit?usp=sharing"",""แผน!IQ77"")"),0)</f>
        <v>0</v>
      </c>
      <c r="J680" s="152">
        <f ca="1">IFERROR(__xludf.DUMMYFUNCTION("IMPORTRANGE(""https://docs.google.com/spreadsheets/d/1tdoBKaGub7dwA3U6UFTqxio9LNnvDCQjHKmttSEBsFQ/edit?usp=sharing"",""จัดที่ดิน!BK77"")"),0)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IFERROR(__xludf.DUMMYFUNCTION("IMPORTRANGE(""https://docs.google.com/spreadsheets/d/1tdoBKaGub7dwA3U6UFTqxio9LNnvDCQjHKmttSEBsFQ/edit?usp=sharing"",""จัดที่ดิน!BL77"")"),0)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IFERROR(__xludf.DUMMYFUNCTION("IMPORTRANGE(""https://docs.google.com/spreadsheets/d/1eHaY18a8A9IcSdp1K8H6x8fbOy06t2VsZHhMHf-1x7Y/edit?usp=sharing"",""แผน!IR77"")"),0)</f>
        <v>0</v>
      </c>
      <c r="J682" s="152">
        <f ca="1">IFERROR(__xludf.DUMMYFUNCTION("IMPORTRANGE(""https://docs.google.com/spreadsheets/d/1tdoBKaGub7dwA3U6UFTqxio9LNnvDCQjHKmttSEBsFQ/edit?usp=sharing"",""จัดที่ดิน!BM77"")"),0)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IFERROR(__xludf.DUMMYFUNCTION("IMPORTRANGE(""https://docs.google.com/spreadsheets/d/1eHaY18a8A9IcSdp1K8H6x8fbOy06t2VsZHhMHf-1x7Y/edit?usp=sharing"",""แผน!IS77"")"),0)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0">I708</f>
        <v>0</v>
      </c>
      <c r="J690" s="753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64340</v>
      </c>
      <c r="R691" s="132">
        <f t="shared" ca="1" si="414"/>
        <v>64340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64340</v>
      </c>
      <c r="R693" s="46">
        <f t="shared" ca="1" si="418"/>
        <v>64340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64340</v>
      </c>
      <c r="R694" s="46">
        <f t="shared" ca="1" si="420"/>
        <v>64340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6" s="46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6" s="46">
        <f ca="1">IFERROR(__xludf.DUMMYFUNCTION("IMPORTRANGE(""https://docs.google.com/spreadsheets/d/1ItG2mGa2ceCfYo0BwxsXqNm01IGEUdYcSSLTEv9YCik/edit?usp=sharing"",""เบิกจ่ายกองทุน!N77"")"),0)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IFERROR(__xludf.DUMMYFUNCTION("IMPORTRANGE(""https://docs.google.com/spreadsheets/d/1eHaY18a8A9IcSdp1K8H6x8fbOy06t2VsZHhMHf-1x7Y/edit?usp=sharing"",""แผน!LC77"")"),0)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1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IFERROR(__xludf.DUMMYFUNCTION("IMPORTRANGE(""https://docs.google.com/spreadsheets/d/1eHaY18a8A9IcSdp1K8H6x8fbOy06t2VsZHhMHf-1x7Y/edit?usp=sharing"",""แผน!LJ77"")"),0)</f>
        <v>0</v>
      </c>
      <c r="J704" s="152">
        <f ca="1">IFERROR(__xludf.DUMMYFUNCTION("IMPORTRANGE(""https://docs.google.com/spreadsheets/d/1tdoBKaGub7dwA3U6UFTqxio9LNnvDCQjHKmttSEBsFQ/edit?usp=sharing"",""จัดที่ดิน!AP77"")"),0)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IFERROR(__xludf.DUMMYFUNCTION("IMPORTRANGE(""https://docs.google.com/spreadsheets/d/1tdoBKaGub7dwA3U6UFTqxio9LNnvDCQjHKmttSEBsFQ/edit?usp=sharing"",""จัดที่ดิน!AQ77"")"),0)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IFERROR(__xludf.DUMMYFUNCTION("IMPORTRANGE(""https://docs.google.com/spreadsheets/d/1eHaY18a8A9IcSdp1K8H6x8fbOy06t2VsZHhMHf-1x7Y/edit?usp=sharing"",""แผน!LK77"")"),1)</f>
        <v>1</v>
      </c>
      <c r="J706" s="152">
        <f ca="1">IFERROR(__xludf.DUMMYFUNCTION("IMPORTRANGE(""https://docs.google.com/spreadsheets/d/1tdoBKaGub7dwA3U6UFTqxio9LNnvDCQjHKmttSEBsFQ/edit?usp=sharing"",""จัดที่ดิน!AR77"")"),0)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IFERROR(__xludf.DUMMYFUNCTION("IMPORTRANGE(""https://docs.google.com/spreadsheets/d/1tdoBKaGub7dwA3U6UFTqxio9LNnvDCQjHKmttSEBsFQ/edit?usp=sharing"",""จัดที่ดิน!AS77"")"),0)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IFERROR(__xludf.DUMMYFUNCTION("IMPORTRANGE(""https://docs.google.com/spreadsheets/d/1eHaY18a8A9IcSdp1K8H6x8fbOy06t2VsZHhMHf-1x7Y/edit?usp=sharing"",""แผน!LJ77"")"),0)</f>
        <v>0</v>
      </c>
      <c r="J708" s="152">
        <f ca="1">IFERROR(__xludf.DUMMYFUNCTION("IMPORTRANGE(""https://docs.google.com/spreadsheets/d/1tdoBKaGub7dwA3U6UFTqxio9LNnvDCQjHKmttSEBsFQ/edit?usp=sharing"",""จัดที่ดิน!BN77"")"),0)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IFERROR(__xludf.DUMMYFUNCTION("IMPORTRANGE(""https://docs.google.com/spreadsheets/d/1tdoBKaGub7dwA3U6UFTqxio9LNnvDCQjHKmttSEBsFQ/edit?usp=sharing"",""จัดที่ดิน!BO77"")"),0)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IFERROR(__xludf.DUMMYFUNCTION("IMPORTRANGE(""https://docs.google.com/spreadsheets/d/1eHaY18a8A9IcSdp1K8H6x8fbOy06t2VsZHhMHf-1x7Y/edit?usp=sharing"",""แผน!LK77"")"),1)</f>
        <v>1</v>
      </c>
      <c r="J710" s="152">
        <f ca="1">IFERROR(__xludf.DUMMYFUNCTION("IMPORTRANGE(""https://docs.google.com/spreadsheets/d/1tdoBKaGub7dwA3U6UFTqxio9LNnvDCQjHKmttSEBsFQ/edit?usp=sharing"",""จัดที่ดิน!BP77"")"),0)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IFERROR(__xludf.DUMMYFUNCTION("IMPORTRANGE(""https://docs.google.com/spreadsheets/d/1tdoBKaGub7dwA3U6UFTqxio9LNnvDCQjHKmttSEBsFQ/edit?usp=sharing"",""จัดที่ดิน!BQ77"")"),0)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IFERROR(__xludf.DUMMYFUNCTION("IMPORTRANGE(""https://docs.google.com/spreadsheets/d/1eHaY18a8A9IcSdp1K8H6x8fbOy06t2VsZHhMHf-1x7Y/edit?usp=sharing"",""แผน!GA77"")"),31)</f>
        <v>31</v>
      </c>
      <c r="J727" s="448">
        <f>J743+J747+J750</f>
        <v>30</v>
      </c>
      <c r="K727" s="449">
        <f t="shared" ref="K727:K728" ca="1" si="437">IF(I727&gt;0,J727*100/I727,0)</f>
        <v>96.774193548387103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IFERROR(__xludf.DUMMYFUNCTION("IMPORTRANGE(""https://docs.google.com/spreadsheets/d/1eHaY18a8A9IcSdp1K8H6x8fbOy06t2VsZHhMHf-1x7Y/edit?usp=sharing"",""แผน!FZ77"")"),300)</f>
        <v>300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242546</v>
      </c>
      <c r="R729" s="132">
        <f t="shared" ca="1" si="441"/>
        <v>242546</v>
      </c>
      <c r="S729" s="132">
        <f t="shared" ca="1" si="441"/>
        <v>4050</v>
      </c>
      <c r="T729" s="132">
        <f t="shared" ref="T729:T737" ca="1" si="442">IF(Q729&gt;0,S729*100/Q729,0)</f>
        <v>1.6697863498058101</v>
      </c>
      <c r="U729" s="132">
        <f t="shared" ref="U729:U737" ca="1" si="443">IF(R729&gt;0,S729*100/R729,0)</f>
        <v>1.6697863498058101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242546</v>
      </c>
      <c r="R731" s="46">
        <f t="shared" ca="1" si="445"/>
        <v>242546</v>
      </c>
      <c r="S731" s="46">
        <f t="shared" ca="1" si="445"/>
        <v>4050</v>
      </c>
      <c r="T731" s="46">
        <f t="shared" ca="1" si="442"/>
        <v>1.6697863498058101</v>
      </c>
      <c r="U731" s="46">
        <f t="shared" ca="1" si="443"/>
        <v>1.6697863498058101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242546</v>
      </c>
      <c r="R732" s="46">
        <f t="shared" ca="1" si="447"/>
        <v>242546</v>
      </c>
      <c r="S732" s="46">
        <f t="shared" ca="1" si="447"/>
        <v>4050</v>
      </c>
      <c r="T732" s="46">
        <f t="shared" ca="1" si="442"/>
        <v>1.6697863498058101</v>
      </c>
      <c r="U732" s="46">
        <f t="shared" ca="1" si="443"/>
        <v>1.6697863498058101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4" s="46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4" s="46">
        <f ca="1">IFERROR(__xludf.DUMMYFUNCTION("IMPORTRANGE(""https://docs.google.com/spreadsheets/d/1ItG2mGa2ceCfYo0BwxsXqNm01IGEUdYcSSLTEv9YCik/edit?usp=sharing"",""เบิกจ่ายกองทุน!Q77"")"),4050)</f>
        <v>4050</v>
      </c>
      <c r="T734" s="46">
        <f t="shared" ca="1" si="442"/>
        <v>1.6697863498058101</v>
      </c>
      <c r="U734" s="46">
        <f t="shared" ca="1" si="443"/>
        <v>1.6697863498058101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IFERROR(__xludf.DUMMYFUNCTION("IMPORTRANGE(""https://docs.google.com/spreadsheets/d/1eHaY18a8A9IcSdp1K8H6x8fbOy06t2VsZHhMHf-1x7Y/edit?usp=sharing"",""แผน!GB77"")"),240)</f>
        <v>240</v>
      </c>
      <c r="J741" s="723">
        <v>240</v>
      </c>
      <c r="K741" s="630">
        <f ca="1">IF(I741&gt;0,J741*100/I741,0)</f>
        <v>100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24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IFERROR(__xludf.DUMMYFUNCTION("IMPORTRANGE(""https://docs.google.com/spreadsheets/d/1eHaY18a8A9IcSdp1K8H6x8fbOy06t2VsZHhMHf-1x7Y/edit?usp=sharing"",""แผน!GC77"")"),24)</f>
        <v>24</v>
      </c>
      <c r="J743" s="723">
        <v>24</v>
      </c>
      <c r="K743" s="630">
        <f ca="1">IF(I743&gt;0,J743*100/I743,0)</f>
        <v>100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IFERROR(__xludf.DUMMYFUNCTION("IMPORTRANGE(""https://docs.google.com/spreadsheets/d/1eHaY18a8A9IcSdp1K8H6x8fbOy06t2VsZHhMHf-1x7Y/edit?usp=sharing"",""แผน!GD77"")"),60)</f>
        <v>60</v>
      </c>
      <c r="J745" s="723">
        <v>60</v>
      </c>
      <c r="K745" s="630">
        <f ca="1">IF(I745&gt;0,J745*100/I745,0)</f>
        <v>100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6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IFERROR(__xludf.DUMMYFUNCTION("IMPORTRANGE(""https://docs.google.com/spreadsheets/d/1eHaY18a8A9IcSdp1K8H6x8fbOy06t2VsZHhMHf-1x7Y/edit?usp=sharing"",""แผน!GE77"")"),6)</f>
        <v>6</v>
      </c>
      <c r="J747" s="723">
        <v>6</v>
      </c>
      <c r="K747" s="630">
        <f ca="1">IF(I747&gt;0,J747*100/I747,0)</f>
        <v>100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IFERROR(__xludf.DUMMYFUNCTION("IMPORTRANGE(""https://docs.google.com/spreadsheets/d/1eHaY18a8A9IcSdp1K8H6x8fbOy06t2VsZHhMHf-1x7Y/edit?usp=sharing"",""แผน!GF77"")"),1)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IFERROR(__xludf.DUMMYFUNCTION("IMPORTRANGE(""https://docs.google.com/spreadsheets/d/1eHaY18a8A9IcSdp1K8H6x8fbOy06t2VsZHhMHf-1x7Y/edit?usp=sharing"",""แผน!GB77"")"),240)</f>
        <v>240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IFERROR(__xludf.DUMMYFUNCTION("IMPORTRANGE(""https://docs.google.com/spreadsheets/d/1eHaY18a8A9IcSdp1K8H6x8fbOy06t2VsZHhMHf-1x7Y/edit?usp=sharing"",""แผน!GD77"")"),60)</f>
        <v>60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20</v>
      </c>
      <c r="J759" s="448">
        <f t="shared" si="450"/>
        <v>0</v>
      </c>
      <c r="K759" s="449">
        <f t="shared" ref="K759:K760" ca="1" si="451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50</v>
      </c>
      <c r="J760" s="448">
        <f t="shared" si="452"/>
        <v>0</v>
      </c>
      <c r="K760" s="449">
        <f t="shared" ca="1" si="451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148660</v>
      </c>
      <c r="R761" s="132">
        <f t="shared" ca="1" si="456"/>
        <v>148660</v>
      </c>
      <c r="S761" s="132">
        <f t="shared" ca="1" si="456"/>
        <v>0</v>
      </c>
      <c r="T761" s="132">
        <f t="shared" ref="T761:T769" ca="1" si="457">IF(Q761&gt;0,S761*100/Q761,0)</f>
        <v>0</v>
      </c>
      <c r="U761" s="132">
        <f t="shared" ref="U761:U769" ca="1" si="458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148660</v>
      </c>
      <c r="R763" s="46">
        <f t="shared" ca="1" si="460"/>
        <v>148660</v>
      </c>
      <c r="S763" s="46">
        <f t="shared" ca="1" si="460"/>
        <v>0</v>
      </c>
      <c r="T763" s="46">
        <f t="shared" ca="1" si="457"/>
        <v>0</v>
      </c>
      <c r="U763" s="46">
        <f t="shared" ca="1" si="458"/>
        <v>0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148660</v>
      </c>
      <c r="R764" s="46">
        <f t="shared" ca="1" si="462"/>
        <v>148660</v>
      </c>
      <c r="S764" s="46">
        <f t="shared" ca="1" si="462"/>
        <v>0</v>
      </c>
      <c r="T764" s="46">
        <f t="shared" ca="1" si="457"/>
        <v>0</v>
      </c>
      <c r="U764" s="46">
        <f t="shared" ca="1" si="458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IFERROR(__xludf.DUMMYFUNCTION("IMPORTRANGE(""https://docs.google.com/spreadsheets/d/1ItG2mGa2ceCfYo0BwxsXqNm01IGEUdYcSSLTEv9YCik/edit?usp=sharing"",""เบิกจ่ายกองทุน!U77"")"),148660)</f>
        <v>148660</v>
      </c>
      <c r="R766" s="46">
        <f ca="1">IFERROR(__xludf.DUMMYFUNCTION("IMPORTRANGE(""https://docs.google.com/spreadsheets/d/1ItG2mGa2ceCfYo0BwxsXqNm01IGEUdYcSSLTEv9YCik/edit?usp=sharing"",""เบิกจ่ายกองทุน!V77"")"),148660)</f>
        <v>148660</v>
      </c>
      <c r="S766" s="46">
        <f ca="1">IFERROR(__xludf.DUMMYFUNCTION("IMPORTRANGE(""https://docs.google.com/spreadsheets/d/1ItG2mGa2ceCfYo0BwxsXqNm01IGEUdYcSSLTEv9YCik/edit?usp=sharing"",""เบิกจ่ายกองทุน!W77"")"),0)</f>
        <v>0</v>
      </c>
      <c r="T766" s="46">
        <f t="shared" ca="1" si="457"/>
        <v>0</v>
      </c>
      <c r="U766" s="46">
        <f t="shared" ca="1" si="458"/>
        <v>0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IFERROR(__xludf.DUMMYFUNCTION("IMPORTRANGE(""https://docs.google.com/spreadsheets/d/1eHaY18a8A9IcSdp1K8H6x8fbOy06t2VsZHhMHf-1x7Y/edit?usp=sharing"",""แผน!FI77"")"),0)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IFERROR(__xludf.DUMMYFUNCTION("IMPORTRANGE(""https://docs.google.com/spreadsheets/d/1eHaY18a8A9IcSdp1K8H6x8fbOy06t2VsZHhMHf-1x7Y/edit?usp=sharing"",""แผน!FQ77"")"),20)</f>
        <v>20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IFERROR(__xludf.DUMMYFUNCTION("IMPORTRANGE(""https://docs.google.com/spreadsheets/d/1eHaY18a8A9IcSdp1K8H6x8fbOy06t2VsZHhMHf-1x7Y/edit?usp=sharing"",""แผน!FR77"")"),50)</f>
        <v>50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IFERROR(__xludf.DUMMYFUNCTION("IMPORTRANGE(""https://docs.google.com/spreadsheets/d/1eHaY18a8A9IcSdp1K8H6x8fbOy06t2VsZHhMHf-1x7Y/edit?usp=sharing"",""แผน!FS77"")"),50)</f>
        <v>50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IFERROR(__xludf.DUMMYFUNCTION("IMPORTRANGE(""https://docs.google.com/spreadsheets/d/1eHaY18a8A9IcSdp1K8H6x8fbOy06t2VsZHhMHf-1x7Y/edit?usp=sharing"",""แผน!FT77"")"),20)</f>
        <v>20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IFERROR(__xludf.DUMMYFUNCTION("IMPORTRANGE(""https://docs.google.com/spreadsheets/d/10OvvATaaLtwErnr3qtWFcTmtbfpFEt5Bsqel9sXx0uE/edit?usp=sharing"",""งานกองทุน!D77"")"),983623.69)</f>
        <v>983623.69</v>
      </c>
      <c r="J779" s="152">
        <f ca="1">IFERROR(__xludf.DUMMYFUNCTION("IMPORTRANGE(""https://docs.google.com/spreadsheets/d/10OvvATaaLtwErnr3qtWFcTmtbfpFEt5Bsqel9sXx0uE/edit?usp=sharing"",""งานกองทุน!F77"")"),427163.93)</f>
        <v>427163.93</v>
      </c>
      <c r="K779" s="46">
        <f t="shared" ref="K779:K786" ca="1" si="465">IF(I779&gt;0,J779*100/I779,0)</f>
        <v>43.427576454568722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IFERROR(__xludf.DUMMYFUNCTION("IMPORTRANGE(""https://docs.google.com/spreadsheets/d/10OvvATaaLtwErnr3qtWFcTmtbfpFEt5Bsqel9sXx0uE/edit?usp=sharing"",""งานกองทุน!C77"")"),71)</f>
        <v>71</v>
      </c>
      <c r="J780" s="152">
        <f ca="1">IFERROR(__xludf.DUMMYFUNCTION("IMPORTRANGE(""https://docs.google.com/spreadsheets/d/10OvvATaaLtwErnr3qtWFcTmtbfpFEt5Bsqel9sXx0uE/edit?usp=sharing"",""งานกองทุน!E77"")"),36)</f>
        <v>36</v>
      </c>
      <c r="K780" s="46">
        <f t="shared" ca="1" si="465"/>
        <v>50.70422535211268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1" s="152">
        <f ca="1">IFERROR(__xludf.DUMMYFUNCTION("IMPORTRANGE(""https://docs.google.com/spreadsheets/d/10OvvATaaLtwErnr3qtWFcTmtbfpFEt5Bsqel9sXx0uE/edit?usp=sharing"",""งานกองทุน!K77"")"),255925.34)</f>
        <v>255925.34</v>
      </c>
      <c r="K781" s="46">
        <f t="shared" ca="1" si="465"/>
        <v>12.686793986801261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IFERROR(__xludf.DUMMYFUNCTION("IMPORTRANGE(""https://docs.google.com/spreadsheets/d/10OvvATaaLtwErnr3qtWFcTmtbfpFEt5Bsqel9sXx0uE/edit?usp=sharing"",""งานกองทุน!H77"")"),79)</f>
        <v>79</v>
      </c>
      <c r="J782" s="152">
        <f ca="1">IFERROR(__xludf.DUMMYFUNCTION("IMPORTRANGE(""https://docs.google.com/spreadsheets/d/10OvvATaaLtwErnr3qtWFcTmtbfpFEt5Bsqel9sXx0uE/edit?usp=sharing"",""งานกองทุน!J77"")"),29)</f>
        <v>29</v>
      </c>
      <c r="K782" s="46">
        <f t="shared" ca="1" si="465"/>
        <v>36.708860759493668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IFERROR(__xludf.DUMMYFUNCTION("IMPORTRANGE(""https://docs.google.com/spreadsheets/d/10OvvATaaLtwErnr3qtWFcTmtbfpFEt5Bsqel9sXx0uE/edit?usp=sharing"",""งานกองทุน!N77"")"),0)</f>
        <v>0</v>
      </c>
      <c r="J783" s="152">
        <f ca="1">IFERROR(__xludf.DUMMYFUNCTION("IMPORTRANGE(""https://docs.google.com/spreadsheets/d/10OvvATaaLtwErnr3qtWFcTmtbfpFEt5Bsqel9sXx0uE/edit?usp=sharing"",""งานกองทุน!P77"")"),0)</f>
        <v>0</v>
      </c>
      <c r="K783" s="46">
        <f t="shared" ca="1" si="465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IFERROR(__xludf.DUMMYFUNCTION("IMPORTRANGE(""https://docs.google.com/spreadsheets/d/10OvvATaaLtwErnr3qtWFcTmtbfpFEt5Bsqel9sXx0uE/edit?usp=sharing"",""งานกองทุน!M77"")"),0)</f>
        <v>0</v>
      </c>
      <c r="J784" s="152">
        <f ca="1">IFERROR(__xludf.DUMMYFUNCTION("IMPORTRANGE(""https://docs.google.com/spreadsheets/d/10OvvATaaLtwErnr3qtWFcTmtbfpFEt5Bsqel9sXx0uE/edit?usp=sharing"",""งานกองทุน!O77"")"),0)</f>
        <v>0</v>
      </c>
      <c r="K784" s="46">
        <f t="shared" ca="1" si="465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IFERROR(__xludf.DUMMYFUNCTION("IMPORTRANGE(""https://docs.google.com/spreadsheets/d/10OvvATaaLtwErnr3qtWFcTmtbfpFEt5Bsqel9sXx0uE/edit?usp=sharing"",""งานกองทุน!S77"")"),2296000)</f>
        <v>2296000</v>
      </c>
      <c r="J785" s="152">
        <f ca="1">IFERROR(__xludf.DUMMYFUNCTION("IMPORTRANGE(""https://docs.google.com/spreadsheets/d/10OvvATaaLtwErnr3qtWFcTmtbfpFEt5Bsqel9sXx0uE/edit?usp=sharing"",""งานกองทุน!U77"")"),855000)</f>
        <v>855000</v>
      </c>
      <c r="K785" s="46">
        <f t="shared" ca="1" si="465"/>
        <v>37.238675958188153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IFERROR(__xludf.DUMMYFUNCTION("IMPORTRANGE(""https://docs.google.com/spreadsheets/d/10OvvATaaLtwErnr3qtWFcTmtbfpFEt5Bsqel9sXx0uE/edit?usp=sharing"",""งานกองทุน!R77"")"),82)</f>
        <v>82</v>
      </c>
      <c r="J786" s="204">
        <f ca="1">IFERROR(__xludf.DUMMYFUNCTION("IMPORTRANGE(""https://docs.google.com/spreadsheets/d/10OvvATaaLtwErnr3qtWFcTmtbfpFEt5Bsqel9sXx0uE/edit?usp=sharing"",""งานกองทุน!T77"")"),19)</f>
        <v>19</v>
      </c>
      <c r="K786" s="110">
        <f t="shared" ca="1" si="465"/>
        <v>23.170731707317074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EB4DD-CF33-4305-B3A7-DEEF2021F2AE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6.855468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314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2231525</v>
      </c>
      <c r="M19" s="34">
        <f t="shared" ca="1" si="0"/>
        <v>2322310.48</v>
      </c>
      <c r="N19" s="34">
        <f t="shared" ca="1" si="0"/>
        <v>1654017.5399999998</v>
      </c>
      <c r="O19" s="34">
        <f t="shared" ref="O19:O27" ca="1" si="1">IF(L19&gt;0,N19*100/L19,0)</f>
        <v>74.120502347049651</v>
      </c>
      <c r="P19" s="34">
        <f t="shared" ref="P19:P27" ca="1" si="2">IF(M19&gt;0,N19*100/M19,0)</f>
        <v>71.222928813549501</v>
      </c>
      <c r="Q19" s="34">
        <f t="shared" ref="Q19:S19" ca="1" si="3">Q20+Q21</f>
        <v>1094737.3900000001</v>
      </c>
      <c r="R19" s="34">
        <f t="shared" ca="1" si="3"/>
        <v>1032237</v>
      </c>
      <c r="S19" s="34">
        <f t="shared" ca="1" si="3"/>
        <v>38650</v>
      </c>
      <c r="T19" s="34">
        <f t="shared" ref="T19:T27" ca="1" si="4">IF(Q19&gt;0,S19*100/Q19,0)</f>
        <v>3.5305270791929373</v>
      </c>
      <c r="U19" s="34">
        <f t="shared" ref="U19:U27" ca="1" si="5">IF(R19&gt;0,S19*100/R19,0)</f>
        <v>3.744295157023048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2231525</v>
      </c>
      <c r="M21" s="38">
        <f t="shared" ca="1" si="6"/>
        <v>2322310.48</v>
      </c>
      <c r="N21" s="38">
        <f t="shared" ca="1" si="6"/>
        <v>1654017.5399999998</v>
      </c>
      <c r="O21" s="38">
        <f t="shared" ca="1" si="1"/>
        <v>74.120502347049651</v>
      </c>
      <c r="P21" s="38">
        <f t="shared" ca="1" si="2"/>
        <v>71.222928813549501</v>
      </c>
      <c r="Q21" s="38">
        <f t="shared" ca="1" si="7"/>
        <v>1094737.3900000001</v>
      </c>
      <c r="R21" s="38">
        <f t="shared" ca="1" si="7"/>
        <v>1032237</v>
      </c>
      <c r="S21" s="38">
        <f t="shared" ca="1" si="7"/>
        <v>38650</v>
      </c>
      <c r="T21" s="38">
        <f t="shared" ca="1" si="4"/>
        <v>3.5305270791929373</v>
      </c>
      <c r="U21" s="38">
        <f t="shared" ca="1" si="5"/>
        <v>3.744295157023048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2231525</v>
      </c>
      <c r="M22" s="46">
        <f t="shared" ca="1" si="8"/>
        <v>2322310.48</v>
      </c>
      <c r="N22" s="46">
        <f t="shared" ca="1" si="8"/>
        <v>1654017.5399999998</v>
      </c>
      <c r="O22" s="46">
        <f t="shared" ca="1" si="1"/>
        <v>74.120502347049651</v>
      </c>
      <c r="P22" s="46">
        <f t="shared" ca="1" si="2"/>
        <v>71.222928813549501</v>
      </c>
      <c r="Q22" s="46">
        <f t="shared" ref="Q22:S22" ca="1" si="9">Q23+Q24</f>
        <v>1094737.3900000001</v>
      </c>
      <c r="R22" s="46">
        <f t="shared" ca="1" si="9"/>
        <v>1032237</v>
      </c>
      <c r="S22" s="46">
        <f t="shared" ca="1" si="9"/>
        <v>38650</v>
      </c>
      <c r="T22" s="46">
        <f t="shared" ca="1" si="4"/>
        <v>3.5305270791929373</v>
      </c>
      <c r="U22" s="46">
        <f t="shared" ca="1" si="5"/>
        <v>3.744295157023048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2231525</v>
      </c>
      <c r="M24" s="46">
        <f t="shared" ca="1" si="10"/>
        <v>2322310.48</v>
      </c>
      <c r="N24" s="46">
        <f t="shared" ca="1" si="10"/>
        <v>1654017.5399999998</v>
      </c>
      <c r="O24" s="46">
        <f t="shared" ca="1" si="1"/>
        <v>74.120502347049651</v>
      </c>
      <c r="P24" s="46">
        <f t="shared" ca="1" si="2"/>
        <v>71.222928813549501</v>
      </c>
      <c r="Q24" s="46">
        <f t="shared" ca="1" si="11"/>
        <v>1094737.3900000001</v>
      </c>
      <c r="R24" s="46">
        <f t="shared" ca="1" si="11"/>
        <v>1032237</v>
      </c>
      <c r="S24" s="46">
        <f t="shared" ca="1" si="11"/>
        <v>38650</v>
      </c>
      <c r="T24" s="46">
        <f t="shared" ca="1" si="4"/>
        <v>3.5305270791929373</v>
      </c>
      <c r="U24" s="46">
        <f t="shared" ca="1" si="5"/>
        <v>3.744295157023048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2231525</v>
      </c>
      <c r="M41" s="525">
        <f t="shared" ca="1" si="16"/>
        <v>2322310.48</v>
      </c>
      <c r="N41" s="525">
        <f t="shared" ca="1" si="16"/>
        <v>1654017.54</v>
      </c>
      <c r="O41" s="525">
        <f ca="1">IF(L41&gt;0,N41*100/L41,0)</f>
        <v>74.120502347049666</v>
      </c>
      <c r="P41" s="525">
        <f ca="1">IF(M41&gt;0,N41*100/M41,0)</f>
        <v>71.222928813549515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413350</v>
      </c>
      <c r="M45" s="78">
        <f t="shared" ca="1" si="17"/>
        <v>426130.48</v>
      </c>
      <c r="N45" s="78">
        <f t="shared" ca="1" si="17"/>
        <v>359853.72</v>
      </c>
      <c r="O45" s="78">
        <f t="shared" ref="O45:O53" ca="1" si="18">IF(L45&gt;0,N45*100/L45,0)</f>
        <v>87.057873472843838</v>
      </c>
      <c r="P45" s="78">
        <f t="shared" ref="P45:P53" ca="1" si="19">IF(M45&gt;0,N45*100/M45,0)</f>
        <v>84.446838911875076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413350</v>
      </c>
      <c r="M47" s="82">
        <f t="shared" ca="1" si="23"/>
        <v>426130.48</v>
      </c>
      <c r="N47" s="82">
        <f t="shared" ca="1" si="23"/>
        <v>359853.72</v>
      </c>
      <c r="O47" s="82">
        <f t="shared" ca="1" si="18"/>
        <v>87.057873472843838</v>
      </c>
      <c r="P47" s="82">
        <f t="shared" ca="1" si="19"/>
        <v>84.446838911875076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413350</v>
      </c>
      <c r="M48" s="46">
        <f t="shared" ca="1" si="25"/>
        <v>426130.48</v>
      </c>
      <c r="N48" s="46">
        <f t="shared" ca="1" si="25"/>
        <v>359853.72</v>
      </c>
      <c r="O48" s="46">
        <f t="shared" ca="1" si="18"/>
        <v>87.057873472843838</v>
      </c>
      <c r="P48" s="46">
        <f t="shared" ca="1" si="19"/>
        <v>84.446838911875076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IFERROR(__xludf.DUMMYFUNCTION("IMPORTRANGE(""https://docs.google.com/spreadsheets/d/1-uDff_7J0KD5mKrp0Vvzr7lt3OU09vwQwhkpOPPYv2Y/edit?usp=sharing"",""งบพรบ!P78"")"),413350)</f>
        <v>413350</v>
      </c>
      <c r="M50" s="46">
        <f ca="1">IFERROR(__xludf.DUMMYFUNCTION("IMPORTRANGE(""https://docs.google.com/spreadsheets/d/1-uDff_7J0KD5mKrp0Vvzr7lt3OU09vwQwhkpOPPYv2Y/edit?usp=sharing"",""งบพรบ!V78"")"),426130.48)</f>
        <v>426130.48</v>
      </c>
      <c r="N50" s="46">
        <f ca="1">IFERROR(__xludf.DUMMYFUNCTION("IMPORTRANGE(""https://docs.google.com/spreadsheets/d/1-uDff_7J0KD5mKrp0Vvzr7lt3OU09vwQwhkpOPPYv2Y/edit?usp=sharing"",""งบพรบ!Y78"")"),359853.72)</f>
        <v>359853.72</v>
      </c>
      <c r="O50" s="46">
        <f t="shared" ca="1" si="18"/>
        <v>87.057873472843838</v>
      </c>
      <c r="P50" s="46">
        <f t="shared" ca="1" si="19"/>
        <v>84.446838911875076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IFERROR(__xludf.DUMMYFUNCTION("IMPORTRANGE(""https://docs.google.com/spreadsheets/d/1-uDff_7J0KD5mKrp0Vvzr7lt3OU09vwQwhkpOPPYv2Y/edit?usp=sharing"",""งบพรบ!S78"")"),0)</f>
        <v>0</v>
      </c>
      <c r="M53" s="46">
        <f ca="1">IFERROR(__xludf.DUMMYFUNCTION("IMPORTRANGE(""https://docs.google.com/spreadsheets/d/1-uDff_7J0KD5mKrp0Vvzr7lt3OU09vwQwhkpOPPYv2Y/edit?usp=sharing"",""งบพรบ!W78"")"),0)</f>
        <v>0</v>
      </c>
      <c r="N53" s="46">
        <f ca="1">IFERROR(__xludf.DUMMYFUNCTION("IMPORTRANGE(""https://docs.google.com/spreadsheets/d/1-uDff_7J0KD5mKrp0Vvzr7lt3OU09vwQwhkpOPPYv2Y/edit?usp=sharing"",""งบพรบ!Z78"")"),0)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509100</v>
      </c>
      <c r="M60" s="105">
        <f t="shared" ca="1" si="29"/>
        <v>534100</v>
      </c>
      <c r="N60" s="105">
        <f t="shared" ca="1" si="29"/>
        <v>497150.16</v>
      </c>
      <c r="O60" s="105">
        <f t="shared" ref="O60:O68" ca="1" si="30">IF(L60&gt;0,N60*100/L60,0)</f>
        <v>97.652751915144378</v>
      </c>
      <c r="P60" s="105">
        <f t="shared" ref="P60:P68" ca="1" si="31">IF(M60&gt;0,N60*100/M60,0)</f>
        <v>93.081849840853778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509100</v>
      </c>
      <c r="M62" s="108">
        <f t="shared" ca="1" si="35"/>
        <v>534100</v>
      </c>
      <c r="N62" s="108">
        <f t="shared" ca="1" si="35"/>
        <v>497150.16</v>
      </c>
      <c r="O62" s="108">
        <f t="shared" ca="1" si="30"/>
        <v>97.652751915144378</v>
      </c>
      <c r="P62" s="108">
        <f t="shared" ca="1" si="31"/>
        <v>93.081849840853778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509100</v>
      </c>
      <c r="M63" s="46">
        <f t="shared" ca="1" si="37"/>
        <v>534100</v>
      </c>
      <c r="N63" s="46">
        <f t="shared" ca="1" si="37"/>
        <v>497150.16</v>
      </c>
      <c r="O63" s="46">
        <f t="shared" ca="1" si="30"/>
        <v>97.652751915144378</v>
      </c>
      <c r="P63" s="46">
        <f t="shared" ca="1" si="31"/>
        <v>93.081849840853778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IFERROR(__xludf.DUMMYFUNCTION("IMPORTRANGE(""https://docs.google.com/spreadsheets/d/1-uDff_7J0KD5mKrp0Vvzr7lt3OU09vwQwhkpOPPYv2Y/edit?usp=sharing"",""งบพรบ!AC78"")"),509100)</f>
        <v>509100</v>
      </c>
      <c r="M65" s="46">
        <f ca="1">IFERROR(__xludf.DUMMYFUNCTION("IMPORTRANGE(""https://docs.google.com/spreadsheets/d/1-uDff_7J0KD5mKrp0Vvzr7lt3OU09vwQwhkpOPPYv2Y/edit?usp=sharing"",""งบพรบ!AH78"")"),534100)</f>
        <v>534100</v>
      </c>
      <c r="N65" s="46">
        <f ca="1">IFERROR(__xludf.DUMMYFUNCTION("IMPORTRANGE(""https://docs.google.com/spreadsheets/d/1-uDff_7J0KD5mKrp0Vvzr7lt3OU09vwQwhkpOPPYv2Y/edit?usp=sharing"",""งบพรบ!AJ78"")"),497150.16)</f>
        <v>497150.16</v>
      </c>
      <c r="O65" s="46">
        <f t="shared" ca="1" si="30"/>
        <v>97.652751915144378</v>
      </c>
      <c r="P65" s="46">
        <f t="shared" ca="1" si="31"/>
        <v>93.081849840853778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IFERROR(__xludf.DUMMYFUNCTION("IMPORTRANGE(""https://docs.google.com/spreadsheets/d/1-uDff_7J0KD5mKrp0Vvzr7lt3OU09vwQwhkpOPPYv2Y/edit?usp=sharing"",""งบพรบ!AF78"")"),0)</f>
        <v>0</v>
      </c>
      <c r="M68" s="110">
        <f ca="1">IFERROR(__xludf.DUMMYFUNCTION("IMPORTRANGE(""https://docs.google.com/spreadsheets/d/1-uDff_7J0KD5mKrp0Vvzr7lt3OU09vwQwhkpOPPYv2Y/edit?usp=sharing"",""งบพรบ!AI78"")"),0)</f>
        <v>0</v>
      </c>
      <c r="N68" s="110">
        <f ca="1">IFERROR(__xludf.DUMMYFUNCTION("IMPORTRANGE(""https://docs.google.com/spreadsheets/d/1-uDff_7J0KD5mKrp0Vvzr7lt3OU09vwQwhkpOPPYv2Y/edit?usp=sharing"",""งบพรบ!AK78"")"),0)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IFERROR(__xludf.DUMMYFUNCTION("IMPORTRANGE(""https://docs.google.com/spreadsheets/d/1-uDff_7J0KD5mKrp0Vvzr7lt3OU09vwQwhkpOPPYv2Y/edit?usp=sharing"",""งบพรบ!AM78"")"),0)</f>
        <v>0</v>
      </c>
      <c r="M78" s="46">
        <f ca="1">IFERROR(__xludf.DUMMYFUNCTION("IMPORTRANGE(""https://docs.google.com/spreadsheets/d/1-uDff_7J0KD5mKrp0Vvzr7lt3OU09vwQwhkpOPPYv2Y/edit?usp=sharing"",""งบพรบ!AR78"")"),0)</f>
        <v>0</v>
      </c>
      <c r="N78" s="46">
        <f ca="1">IFERROR(__xludf.DUMMYFUNCTION("IMPORTRANGE(""https://docs.google.com/spreadsheets/d/1-uDff_7J0KD5mKrp0Vvzr7lt3OU09vwQwhkpOPPYv2Y/edit?usp=sharing"",""งบพรบ!AT78"")"),0)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IFERROR(__xludf.DUMMYFUNCTION("IMPORTRANGE(""https://docs.google.com/spreadsheets/d/1ItG2mGa2ceCfYo0BwxsXqNm01IGEUdYcSSLTEv9YCik/edit?usp=sharing"",""เบิกจ่ายกองทุน!AS78"")"),0)</f>
        <v>0</v>
      </c>
      <c r="R78" s="46">
        <f ca="1">IFERROR(__xludf.DUMMYFUNCTION("IMPORTRANGE(""https://docs.google.com/spreadsheets/d/1ItG2mGa2ceCfYo0BwxsXqNm01IGEUdYcSSLTEv9YCik/edit?usp=sharing"",""เบิกจ่ายกองทุน!AT78"")"),0)</f>
        <v>0</v>
      </c>
      <c r="S78" s="46">
        <f ca="1">IFERROR(__xludf.DUMMYFUNCTION("IMPORTRANGE(""https://docs.google.com/spreadsheets/d/1ItG2mGa2ceCfYo0BwxsXqNm01IGEUdYcSSLTEv9YCik/edit?usp=sharing"",""เบิกจ่ายกองทุน!AU78"")"),0)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IFERROR(__xludf.DUMMYFUNCTION("IMPORTRANGE(""https://docs.google.com/spreadsheets/d/1-uDff_7J0KD5mKrp0Vvzr7lt3OU09vwQwhkpOPPYv2Y/edit?usp=sharing"",""งบพรบ!AP78"")"),0)</f>
        <v>0</v>
      </c>
      <c r="M81" s="46">
        <f ca="1">IFERROR(__xludf.DUMMYFUNCTION("IMPORTRANGE(""https://docs.google.com/spreadsheets/d/1-uDff_7J0KD5mKrp0Vvzr7lt3OU09vwQwhkpOPPYv2Y/edit?usp=sharing"",""งบพรบ!AS78"")"),0)</f>
        <v>0</v>
      </c>
      <c r="N81" s="46">
        <f ca="1">IFERROR(__xludf.DUMMYFUNCTION("IMPORTRANGE(""https://docs.google.com/spreadsheets/d/1-uDff_7J0KD5mKrp0Vvzr7lt3OU09vwQwhkpOPPYv2Y/edit?usp=sharing"",""งบพรบ!AU78"")"),0)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IFERROR(__xludf.DUMMYFUNCTION("IMPORTRANGE(""https://docs.google.com/spreadsheets/d/1eHaY18a8A9IcSdp1K8H6x8fbOy06t2VsZHhMHf-1x7Y/edit?usp=sharing"",""แผน!H78"")"),0)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IFERROR(__xludf.DUMMYFUNCTION("IMPORTRANGE(""https://docs.google.com/spreadsheets/d/1eHaY18a8A9IcSdp1K8H6x8fbOy06t2VsZHhMHf-1x7Y/edit?usp=sharing"",""แผน!I78"")"),0)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IFERROR(__xludf.DUMMYFUNCTION("IMPORTRANGE(""https://docs.google.com/spreadsheets/d/1eHaY18a8A9IcSdp1K8H6x8fbOy06t2VsZHhMHf-1x7Y/edit?usp=sharing"",""แผน!F78"")"),0)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IFERROR(__xludf.DUMMYFUNCTION("IMPORTRANGE(""https://docs.google.com/spreadsheets/d/1eHaY18a8A9IcSdp1K8H6x8fbOy06t2VsZHhMHf-1x7Y/edit?usp=sharing"",""แผน!G78"")"),0)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IFERROR(__xludf.DUMMYFUNCTION("IMPORTRANGE(""https://docs.google.com/spreadsheets/d/1eHaY18a8A9IcSdp1K8H6x8fbOy06t2VsZHhMHf-1x7Y/edit?usp=sharing"",""แผน!D78"")"),0)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IFERROR(__xludf.DUMMYFUNCTION("IMPORTRANGE(""https://docs.google.com/spreadsheets/d/1eHaY18a8A9IcSdp1K8H6x8fbOy06t2VsZHhMHf-1x7Y/edit?usp=sharing"",""แผน!E78"")"),0)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IFERROR(__xludf.DUMMYFUNCTION("IMPORTRANGE(""https://docs.google.com/spreadsheets/d/1eHaY18a8A9IcSdp1K8H6x8fbOy06t2VsZHhMHf-1x7Y/edit?usp=sharing"",""แผน!J78"")"),0)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IFERROR(__xludf.DUMMYFUNCTION("IMPORTRANGE(""https://docs.google.com/spreadsheets/d/1-uDff_7J0KD5mKrp0Vvzr7lt3OU09vwQwhkpOPPYv2Y/edit?usp=sharing"",""งบพรบ!AW78"")"),0)</f>
        <v>0</v>
      </c>
      <c r="M100" s="46">
        <f ca="1">IFERROR(__xludf.DUMMYFUNCTION("IMPORTRANGE(""https://docs.google.com/spreadsheets/d/1-uDff_7J0KD5mKrp0Vvzr7lt3OU09vwQwhkpOPPYv2Y/edit?usp=sharing"",""งบพรบ!BB78"")"),0)</f>
        <v>0</v>
      </c>
      <c r="N100" s="46">
        <f ca="1">IFERROR(__xludf.DUMMYFUNCTION("IMPORTRANGE(""https://docs.google.com/spreadsheets/d/1-uDff_7J0KD5mKrp0Vvzr7lt3OU09vwQwhkpOPPYv2Y/edit?usp=sharing"",""งบพรบ!BD78"")"),0)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IFERROR(__xludf.DUMMYFUNCTION("IMPORTRANGE(""https://docs.google.com/spreadsheets/d/1ItG2mGa2ceCfYo0BwxsXqNm01IGEUdYcSSLTEv9YCik/edit?usp=sharing"",""เบิกจ่ายกองทุน!AD78"")"),0)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IFERROR(__xludf.DUMMYFUNCTION("IMPORTRANGE(""https://docs.google.com/spreadsheets/d/1ItG2mGa2ceCfYo0BwxsXqNm01IGEUdYcSSLTEv9YCik/edit?usp=sharing"",""เบิกจ่ายกองทุน!AE78"")"),0)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IFERROR(__xludf.DUMMYFUNCTION("IMPORTRANGE(""https://docs.google.com/spreadsheets/d/1ItG2mGa2ceCfYo0BwxsXqNm01IGEUdYcSSLTEv9YCik/edit?usp=sharing"",""เบิกจ่ายกองทุน!AF78"")"),0)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IFERROR(__xludf.DUMMYFUNCTION("IMPORTRANGE(""https://docs.google.com/spreadsheets/d/1-uDff_7J0KD5mKrp0Vvzr7lt3OU09vwQwhkpOPPYv2Y/edit?usp=sharing"",""งบพรบ!AZ78"")"),0)</f>
        <v>0</v>
      </c>
      <c r="M103" s="46">
        <f ca="1">IFERROR(__xludf.DUMMYFUNCTION("IMPORTRANGE(""https://docs.google.com/spreadsheets/d/1-uDff_7J0KD5mKrp0Vvzr7lt3OU09vwQwhkpOPPYv2Y/edit?usp=sharing"",""งบพรบ!BC78"")"),0)</f>
        <v>0</v>
      </c>
      <c r="N103" s="46">
        <f ca="1">IFERROR(__xludf.DUMMYFUNCTION("IMPORTRANGE(""https://docs.google.com/spreadsheets/d/1-uDff_7J0KD5mKrp0Vvzr7lt3OU09vwQwhkpOPPYv2Y/edit?usp=sharing"",""งบพรบ!BE78"")"),0)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IFERROR(__xludf.DUMMYFUNCTION("IMPORTRANGE(""https://docs.google.com/spreadsheets/d/1eHaY18a8A9IcSdp1K8H6x8fbOy06t2VsZHhMHf-1x7Y/edit?usp=sharing"",""แผน!N78"")"),0)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IFERROR(__xludf.DUMMYFUNCTION("IMPORTRANGE(""https://docs.google.com/spreadsheets/d/1eHaY18a8A9IcSdp1K8H6x8fbOy06t2VsZHhMHf-1x7Y/edit?usp=sharing"",""แผน!O78"")"),0)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IFERROR(__xludf.DUMMYFUNCTION("IMPORTRANGE(""https://docs.google.com/spreadsheets/d/1eHaY18a8A9IcSdp1K8H6x8fbOy06t2VsZHhMHf-1x7Y/edit?usp=sharing"",""แผน!R78"")"),0)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20</v>
      </c>
      <c r="J117" s="127">
        <f t="shared" si="72"/>
        <v>0</v>
      </c>
      <c r="K117" s="34">
        <f ca="1">IF(I117&gt;0,J117*100/I117,0)</f>
        <v>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209360</v>
      </c>
      <c r="R118" s="132">
        <f t="shared" ca="1" si="76"/>
        <v>209360</v>
      </c>
      <c r="S118" s="132">
        <f t="shared" ca="1" si="76"/>
        <v>35920</v>
      </c>
      <c r="T118" s="132">
        <f t="shared" ref="T118:T126" ca="1" si="77">IF(Q118&gt;0,S118*100/Q118,0)</f>
        <v>17.157050057317541</v>
      </c>
      <c r="U118" s="132">
        <f t="shared" ref="U118:U126" ca="1" si="78">IF(R118&gt;0,S118*100/R118,0)</f>
        <v>17.157050057317541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209360</v>
      </c>
      <c r="R120" s="46">
        <f t="shared" ca="1" si="80"/>
        <v>209360</v>
      </c>
      <c r="S120" s="46">
        <f t="shared" ca="1" si="80"/>
        <v>35920</v>
      </c>
      <c r="T120" s="46">
        <f t="shared" ca="1" si="77"/>
        <v>17.157050057317541</v>
      </c>
      <c r="U120" s="46">
        <f t="shared" ca="1" si="78"/>
        <v>17.157050057317541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209360</v>
      </c>
      <c r="R121" s="46">
        <f t="shared" ca="1" si="82"/>
        <v>209360</v>
      </c>
      <c r="S121" s="46">
        <f t="shared" ca="1" si="82"/>
        <v>35920</v>
      </c>
      <c r="T121" s="46">
        <f t="shared" ca="1" si="77"/>
        <v>17.157050057317541</v>
      </c>
      <c r="U121" s="46">
        <f t="shared" ca="1" si="78"/>
        <v>17.157050057317541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IFERROR(__xludf.DUMMYFUNCTION("IMPORTRANGE(""https://docs.google.com/spreadsheets/d/1-uDff_7J0KD5mKrp0Vvzr7lt3OU09vwQwhkpOPPYv2Y/edit?usp=sharing"",""งบพรบ!BG78"")"),0)</f>
        <v>0</v>
      </c>
      <c r="M123" s="46">
        <f ca="1">IFERROR(__xludf.DUMMYFUNCTION("IMPORTRANGE(""https://docs.google.com/spreadsheets/d/1-uDff_7J0KD5mKrp0Vvzr7lt3OU09vwQwhkpOPPYv2Y/edit?usp=sharing"",""งบพรบ!BL78"")"),0)</f>
        <v>0</v>
      </c>
      <c r="N123" s="46">
        <f ca="1">IFERROR(__xludf.DUMMYFUNCTION("IMPORTRANGE(""https://docs.google.com/spreadsheets/d/1-uDff_7J0KD5mKrp0Vvzr7lt3OU09vwQwhkpOPPYv2Y/edit?usp=sharing"",""งบพรบ!BN78"")"),0)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IFERROR(__xludf.DUMMYFUNCTION("IMPORTRANGE(""https://docs.google.com/spreadsheets/d/1ItG2mGa2ceCfYo0BwxsXqNm01IGEUdYcSSLTEv9YCik/edit?usp=sharing"",""เบิกจ่ายกองทุน!R78"")"),209360)</f>
        <v>209360</v>
      </c>
      <c r="R123" s="46">
        <f ca="1">IFERROR(__xludf.DUMMYFUNCTION("IMPORTRANGE(""https://docs.google.com/spreadsheets/d/1ItG2mGa2ceCfYo0BwxsXqNm01IGEUdYcSSLTEv9YCik/edit?usp=sharing"",""เบิกจ่ายกองทุน!S78"")"),209360)</f>
        <v>209360</v>
      </c>
      <c r="S123" s="46">
        <f ca="1">IFERROR(__xludf.DUMMYFUNCTION("IMPORTRANGE(""https://docs.google.com/spreadsheets/d/1ItG2mGa2ceCfYo0BwxsXqNm01IGEUdYcSSLTEv9YCik/edit?usp=sharing"",""เบิกจ่ายกองทุน!T78"")"),35920)</f>
        <v>35920</v>
      </c>
      <c r="T123" s="46">
        <f t="shared" ca="1" si="77"/>
        <v>17.157050057317541</v>
      </c>
      <c r="U123" s="46">
        <f t="shared" ca="1" si="78"/>
        <v>17.157050057317541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IFERROR(__xludf.DUMMYFUNCTION("IMPORTRANGE(""https://docs.google.com/spreadsheets/d/1-uDff_7J0KD5mKrp0Vvzr7lt3OU09vwQwhkpOPPYv2Y/edit?usp=sharing"",""งบพรบ!BJ78"")"),0)</f>
        <v>0</v>
      </c>
      <c r="M126" s="46">
        <f ca="1">IFERROR(__xludf.DUMMYFUNCTION("IMPORTRANGE(""https://docs.google.com/spreadsheets/d/1-uDff_7J0KD5mKrp0Vvzr7lt3OU09vwQwhkpOPPYv2Y/edit?usp=sharing"",""งบพรบ!BM78"")"),0)</f>
        <v>0</v>
      </c>
      <c r="N126" s="46">
        <f ca="1">IFERROR(__xludf.DUMMYFUNCTION("IMPORTRANGE(""https://docs.google.com/spreadsheets/d/1-uDff_7J0KD5mKrp0Vvzr7lt3OU09vwQwhkpOPPYv2Y/edit?usp=sharing"",""งบพรบ!BO78"")"),0)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IFERROR(__xludf.DUMMYFUNCTION("IMPORTRANGE(""https://docs.google.com/spreadsheets/d/1eHaY18a8A9IcSdp1K8H6x8fbOy06t2VsZHhMHf-1x7Y/edit?usp=sharing"",""แผน!FF78"")"),20)</f>
        <v>20</v>
      </c>
      <c r="J128" s="168">
        <v>0</v>
      </c>
      <c r="K128" s="46">
        <f t="shared" ref="K128:K131" ca="1" si="85">IF(I128&gt;0,J128*100/I128,0)</f>
        <v>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IFERROR(__xludf.DUMMYFUNCTION("IMPORTRANGE(""https://docs.google.com/spreadsheets/d/1eHaY18a8A9IcSdp1K8H6x8fbOy06t2VsZHhMHf-1x7Y/edit?usp=sharing"",""แผน!FG78"")"),0)</f>
        <v>0</v>
      </c>
      <c r="J129" s="168">
        <v>0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IFERROR(__xludf.DUMMYFUNCTION("IMPORTRANGE(""https://docs.google.com/spreadsheets/d/1eHaY18a8A9IcSdp1K8H6x8fbOy06t2VsZHhMHf-1x7Y/edit?usp=sharing"",""แผน!FH78"")"),20)</f>
        <v>20</v>
      </c>
      <c r="J130" s="168">
        <v>0</v>
      </c>
      <c r="K130" s="46">
        <f t="shared" ca="1" si="85"/>
        <v>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IFERROR(__xludf.DUMMYFUNCTION("IMPORTRANGE(""https://docs.google.com/spreadsheets/d/1eHaY18a8A9IcSdp1K8H6x8fbOy06t2VsZHhMHf-1x7Y/edit?usp=sharing"",""แผน!FI78"")"),0)</f>
        <v>0</v>
      </c>
      <c r="J131" s="168">
        <v>0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0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40</v>
      </c>
      <c r="J138" s="127">
        <f t="shared" si="88"/>
        <v>0</v>
      </c>
      <c r="K138" s="34">
        <f t="shared" ca="1" si="87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4</v>
      </c>
      <c r="J139" s="127">
        <f t="shared" si="88"/>
        <v>0</v>
      </c>
      <c r="K139" s="34">
        <f t="shared" ca="1" si="87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135400</v>
      </c>
      <c r="M140" s="132">
        <f t="shared" ca="1" si="89"/>
        <v>130400</v>
      </c>
      <c r="N140" s="132">
        <f t="shared" ca="1" si="89"/>
        <v>51050</v>
      </c>
      <c r="O140" s="132">
        <f t="shared" ref="O140:O148" ca="1" si="90">IF(L140&gt;0,N140*100/L140,0)</f>
        <v>37.703101920236335</v>
      </c>
      <c r="P140" s="132">
        <f t="shared" ref="P140:P148" ca="1" si="91">IF(M140&gt;0,N140*100/M140,0)</f>
        <v>39.148773006134967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135400</v>
      </c>
      <c r="M142" s="46">
        <f t="shared" ca="1" si="95"/>
        <v>130400</v>
      </c>
      <c r="N142" s="46">
        <f t="shared" ca="1" si="95"/>
        <v>51050</v>
      </c>
      <c r="O142" s="46">
        <f t="shared" ca="1" si="90"/>
        <v>37.703101920236335</v>
      </c>
      <c r="P142" s="46">
        <f t="shared" ca="1" si="91"/>
        <v>39.148773006134967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135400</v>
      </c>
      <c r="M143" s="46">
        <f t="shared" ca="1" si="97"/>
        <v>130400</v>
      </c>
      <c r="N143" s="46">
        <f t="shared" ca="1" si="97"/>
        <v>51050</v>
      </c>
      <c r="O143" s="46">
        <f t="shared" ca="1" si="90"/>
        <v>37.703101920236335</v>
      </c>
      <c r="P143" s="46">
        <f t="shared" ca="1" si="91"/>
        <v>39.148773006134967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IFERROR(__xludf.DUMMYFUNCTION("IMPORTRANGE(""https://docs.google.com/spreadsheets/d/1-uDff_7J0KD5mKrp0Vvzr7lt3OU09vwQwhkpOPPYv2Y/edit?usp=sharing"",""งบพรบ!BQ78"")"),135400)</f>
        <v>135400</v>
      </c>
      <c r="M145" s="46">
        <f ca="1">IFERROR(__xludf.DUMMYFUNCTION("IMPORTRANGE(""https://docs.google.com/spreadsheets/d/1-uDff_7J0KD5mKrp0Vvzr7lt3OU09vwQwhkpOPPYv2Y/edit?usp=sharing"",""งบพรบ!BV78"")"),130400)</f>
        <v>130400</v>
      </c>
      <c r="N145" s="46">
        <f ca="1">IFERROR(__xludf.DUMMYFUNCTION("IMPORTRANGE(""https://docs.google.com/spreadsheets/d/1-uDff_7J0KD5mKrp0Vvzr7lt3OU09vwQwhkpOPPYv2Y/edit?usp=sharing"",""งบพรบ!BX78"")"),51050)</f>
        <v>51050</v>
      </c>
      <c r="O145" s="46">
        <f t="shared" ca="1" si="90"/>
        <v>37.703101920236335</v>
      </c>
      <c r="P145" s="46">
        <f t="shared" ca="1" si="91"/>
        <v>39.148773006134967</v>
      </c>
      <c r="Q145" s="46">
        <f ca="1">IFERROR(__xludf.DUMMYFUNCTION("IMPORTRANGE(""https://docs.google.com/spreadsheets/d/1ItG2mGa2ceCfYo0BwxsXqNm01IGEUdYcSSLTEv9YCik/edit?usp=sharing"",""เบิกจ่ายกองทุน!BB78"")"),0)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IFERROR(__xludf.DUMMYFUNCTION("IMPORTRANGE(""https://docs.google.com/spreadsheets/d/1ItG2mGa2ceCfYo0BwxsXqNm01IGEUdYcSSLTEv9YCik/edit?usp=sharing"",""เบิกจ่ายกองทุน!BC78"")"),0)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IFERROR(__xludf.DUMMYFUNCTION("IMPORTRANGE(""https://docs.google.com/spreadsheets/d/1ItG2mGa2ceCfYo0BwxsXqNm01IGEUdYcSSLTEv9YCik/edit?usp=sharing"",""เบิกจ่ายกองทุน!BD78"")"),0)</f>
        <v>0</v>
      </c>
      <c r="T145" s="46">
        <f t="shared" ca="1" si="93"/>
        <v>0</v>
      </c>
      <c r="U145" s="46">
        <f t="shared" ca="1" si="94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IFERROR(__xludf.DUMMYFUNCTION("IMPORTRANGE(""https://docs.google.com/spreadsheets/d/1-uDff_7J0KD5mKrp0Vvzr7lt3OU09vwQwhkpOPPYv2Y/edit?usp=sharing"",""งบพรบ!BT78"")"),0)</f>
        <v>0</v>
      </c>
      <c r="M148" s="46">
        <f ca="1">IFERROR(__xludf.DUMMYFUNCTION("IMPORTRANGE(""https://docs.google.com/spreadsheets/d/1-uDff_7J0KD5mKrp0Vvzr7lt3OU09vwQwhkpOPPYv2Y/edit?usp=sharing"",""งบพรบ!BW78"")"),0)</f>
        <v>0</v>
      </c>
      <c r="N148" s="46">
        <f ca="1">IFERROR(__xludf.DUMMYFUNCTION("IMPORTRANGE(""https://docs.google.com/spreadsheets/d/1-uDff_7J0KD5mKrp0Vvzr7lt3OU09vwQwhkpOPPYv2Y/edit?usp=sharing"",""งบพรบ!BY78"")"),0)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IFERROR(__xludf.DUMMYFUNCTION("IMPORTRANGE(""https://docs.google.com/spreadsheets/d/1eHaY18a8A9IcSdp1K8H6x8fbOy06t2VsZHhMHf-1x7Y/edit?usp=sharing"",""แผน!U78"")"),0)</f>
        <v>0</v>
      </c>
      <c r="J151" s="168">
        <v>0</v>
      </c>
      <c r="K151" s="46">
        <f t="shared" ref="K151:K155" ca="1" si="101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IFERROR(__xludf.DUMMYFUNCTION("IMPORTRANGE(""https://docs.google.com/spreadsheets/d/1eHaY18a8A9IcSdp1K8H6x8fbOy06t2VsZHhMHf-1x7Y/edit?usp=sharing"",""แผน!V78"")"),0)</f>
        <v>0</v>
      </c>
      <c r="J152" s="168">
        <v>0</v>
      </c>
      <c r="K152" s="46">
        <f t="shared" ca="1" si="101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IFERROR(__xludf.DUMMYFUNCTION("IMPORTRANGE(""https://docs.google.com/spreadsheets/d/1eHaY18a8A9IcSdp1K8H6x8fbOy06t2VsZHhMHf-1x7Y/edit?usp=sharing"",""แผน!W78"")"),40)</f>
        <v>40</v>
      </c>
      <c r="J153" s="168">
        <v>0</v>
      </c>
      <c r="K153" s="46">
        <f t="shared" ca="1" si="101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IFERROR(__xludf.DUMMYFUNCTION("IMPORTRANGE(""https://docs.google.com/spreadsheets/d/1eHaY18a8A9IcSdp1K8H6x8fbOy06t2VsZHhMHf-1x7Y/edit?usp=sharing"",""แผน!X78"")"),4)</f>
        <v>4</v>
      </c>
      <c r="J154" s="168">
        <v>0</v>
      </c>
      <c r="K154" s="46">
        <f t="shared" ca="1" si="101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IFERROR(__xludf.DUMMYFUNCTION("IMPORTRANGE(""https://docs.google.com/spreadsheets/d/1eHaY18a8A9IcSdp1K8H6x8fbOy06t2VsZHhMHf-1x7Y/edit?usp=sharing"",""แผน!Y78"")"),0)</f>
        <v>0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IFERROR(__xludf.DUMMYFUNCTION("IMPORTRANGE(""https://docs.google.com/spreadsheets/d/1-uDff_7J0KD5mKrp0Vvzr7lt3OU09vwQwhkpOPPYv2Y/edit?usp=sharing"",""งบพรบ!CA78"")"),0)</f>
        <v>0</v>
      </c>
      <c r="M163" s="46">
        <f ca="1">IFERROR(__xludf.DUMMYFUNCTION("IMPORTRANGE(""https://docs.google.com/spreadsheets/d/1-uDff_7J0KD5mKrp0Vvzr7lt3OU09vwQwhkpOPPYv2Y/edit?usp=sharing"",""งบพรบ!CF78"")"),0)</f>
        <v>0</v>
      </c>
      <c r="N163" s="46">
        <f ca="1">IFERROR(__xludf.DUMMYFUNCTION("IMPORTRANGE(""https://docs.google.com/spreadsheets/d/1-uDff_7J0KD5mKrp0Vvzr7lt3OU09vwQwhkpOPPYv2Y/edit?usp=sharing"",""งบพรบ!CH78"")"),0)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IFERROR(__xludf.DUMMYFUNCTION("IMPORTRANGE(""https://docs.google.com/spreadsheets/d/1ItG2mGa2ceCfYo0BwxsXqNm01IGEUdYcSSLTEv9YCik/edit?usp=sharing"",""เบิกจ่ายกองทุน!AG78"")"),0)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IFERROR(__xludf.DUMMYFUNCTION("IMPORTRANGE(""https://docs.google.com/spreadsheets/d/1ItG2mGa2ceCfYo0BwxsXqNm01IGEUdYcSSLTEv9YCik/edit?usp=sharing"",""เบิกจ่ายกองทุน!AH78"")"),0)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IFERROR(__xludf.DUMMYFUNCTION("IMPORTRANGE(""https://docs.google.com/spreadsheets/d/1ItG2mGa2ceCfYo0BwxsXqNm01IGEUdYcSSLTEv9YCik/edit?usp=sharing"",""เบิกจ่ายกองทุน!AI78"")"),0)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IFERROR(__xludf.DUMMYFUNCTION("IMPORTRANGE(""https://docs.google.com/spreadsheets/d/1-uDff_7J0KD5mKrp0Vvzr7lt3OU09vwQwhkpOPPYv2Y/edit?usp=sharing"",""งบพรบ!CD78"")"),0)</f>
        <v>0</v>
      </c>
      <c r="M166" s="46">
        <f ca="1">IFERROR(__xludf.DUMMYFUNCTION("IMPORTRANGE(""https://docs.google.com/spreadsheets/d/1-uDff_7J0KD5mKrp0Vvzr7lt3OU09vwQwhkpOPPYv2Y/edit?usp=sharing"",""งบพรบ!CG78"")"),0)</f>
        <v>0</v>
      </c>
      <c r="N166" s="46">
        <f ca="1">IFERROR(__xludf.DUMMYFUNCTION("IMPORTRANGE(""https://docs.google.com/spreadsheets/d/1-uDff_7J0KD5mKrp0Vvzr7lt3OU09vwQwhkpOPPYv2Y/edit?usp=sharing"",""งบพรบ!CI78"")"),0)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IFERROR(__xludf.DUMMYFUNCTION("IMPORTRANGE(""https://docs.google.com/spreadsheets/d/1eHaY18a8A9IcSdp1K8H6x8fbOy06t2VsZHhMHf-1x7Y/edit?usp=sharing"",""แผน!Z78"")"),0)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IFERROR(__xludf.DUMMYFUNCTION("IMPORTRANGE(""https://docs.google.com/spreadsheets/d/1eHaY18a8A9IcSdp1K8H6x8fbOy06t2VsZHhMHf-1x7Y/edit?usp=sharing"",""แผน!Z78"")"),0)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IFERROR(__xludf.DUMMYFUNCTION("IMPORTRANGE(""https://docs.google.com/spreadsheets/d/1eHaY18a8A9IcSdp1K8H6x8fbOy06t2VsZHhMHf-1x7Y/edit?usp=sharing"",""แผน!Z78"")"),0)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7</v>
      </c>
      <c r="J173" s="221">
        <f t="shared" si="116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19590</v>
      </c>
      <c r="M174" s="132">
        <f t="shared" ca="1" si="117"/>
        <v>36520</v>
      </c>
      <c r="N174" s="132">
        <f t="shared" ca="1" si="117"/>
        <v>17455</v>
      </c>
      <c r="O174" s="132">
        <f t="shared" ref="O174:O182" ca="1" si="118">IF(L174&gt;0,N174*100/L174,0)</f>
        <v>89.101582440020422</v>
      </c>
      <c r="P174" s="132">
        <f t="shared" ref="P174:P182" ca="1" si="119">IF(M174&gt;0,N174*100/M174,0)</f>
        <v>47.795728368017528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19590</v>
      </c>
      <c r="M176" s="46">
        <f t="shared" ca="1" si="123"/>
        <v>36520</v>
      </c>
      <c r="N176" s="46">
        <f t="shared" ca="1" si="123"/>
        <v>17455</v>
      </c>
      <c r="O176" s="46">
        <f t="shared" ca="1" si="118"/>
        <v>89.101582440020422</v>
      </c>
      <c r="P176" s="46">
        <f t="shared" ca="1" si="119"/>
        <v>47.795728368017528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19590</v>
      </c>
      <c r="M177" s="46">
        <f t="shared" ca="1" si="125"/>
        <v>36520</v>
      </c>
      <c r="N177" s="46">
        <f t="shared" ca="1" si="125"/>
        <v>17455</v>
      </c>
      <c r="O177" s="46">
        <f t="shared" ca="1" si="118"/>
        <v>89.101582440020422</v>
      </c>
      <c r="P177" s="46">
        <f t="shared" ca="1" si="119"/>
        <v>47.795728368017528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IFERROR(__xludf.DUMMYFUNCTION("IMPORTRANGE(""https://docs.google.com/spreadsheets/d/1-uDff_7J0KD5mKrp0Vvzr7lt3OU09vwQwhkpOPPYv2Y/edit?usp=sharing"",""งบพรบ!CK78"")"),19590)</f>
        <v>19590</v>
      </c>
      <c r="M179" s="46">
        <f ca="1">IFERROR(__xludf.DUMMYFUNCTION("IMPORTRANGE(""https://docs.google.com/spreadsheets/d/1-uDff_7J0KD5mKrp0Vvzr7lt3OU09vwQwhkpOPPYv2Y/edit?usp=sharing"",""งบพรบ!CP78"")"),36520)</f>
        <v>36520</v>
      </c>
      <c r="N179" s="46">
        <f ca="1">IFERROR(__xludf.DUMMYFUNCTION("IMPORTRANGE(""https://docs.google.com/spreadsheets/d/1-uDff_7J0KD5mKrp0Vvzr7lt3OU09vwQwhkpOPPYv2Y/edit?usp=sharing"",""งบพรบ!CR78"")"),17455)</f>
        <v>17455</v>
      </c>
      <c r="O179" s="46">
        <f t="shared" ca="1" si="118"/>
        <v>89.101582440020422</v>
      </c>
      <c r="P179" s="46">
        <f t="shared" ca="1" si="119"/>
        <v>47.795728368017528</v>
      </c>
      <c r="Q179" s="46">
        <f ca="1">IFERROR(__xludf.DUMMYFUNCTION("IMPORTRANGE(""https://docs.google.com/spreadsheets/d/1ItG2mGa2ceCfYo0BwxsXqNm01IGEUdYcSSLTEv9YCik/edit?usp=sharing"",""เบิกจ่ายกองทุน!BE78"")"),0)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IFERROR(__xludf.DUMMYFUNCTION("IMPORTRANGE(""https://docs.google.com/spreadsheets/d/1ItG2mGa2ceCfYo0BwxsXqNm01IGEUdYcSSLTEv9YCik/edit?usp=sharing"",""เบิกจ่ายกองทุน!BF78"")"),0)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IFERROR(__xludf.DUMMYFUNCTION("IMPORTRANGE(""https://docs.google.com/spreadsheets/d/1ItG2mGa2ceCfYo0BwxsXqNm01IGEUdYcSSLTEv9YCik/edit?usp=sharing"",""เบิกจ่ายกองทุน!BG78"")"),0)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IFERROR(__xludf.DUMMYFUNCTION("IMPORTRANGE(""https://docs.google.com/spreadsheets/d/1-uDff_7J0KD5mKrp0Vvzr7lt3OU09vwQwhkpOPPYv2Y/edit?usp=sharing"",""งบพรบ!CN78"")"),0)</f>
        <v>0</v>
      </c>
      <c r="M182" s="46">
        <f ca="1">IFERROR(__xludf.DUMMYFUNCTION("IMPORTRANGE(""https://docs.google.com/spreadsheets/d/1-uDff_7J0KD5mKrp0Vvzr7lt3OU09vwQwhkpOPPYv2Y/edit?usp=sharing"",""งบพรบ!CQ78"")"),0)</f>
        <v>0</v>
      </c>
      <c r="N182" s="46">
        <f ca="1">IFERROR(__xludf.DUMMYFUNCTION("IMPORTRANGE(""https://docs.google.com/spreadsheets/d/1-uDff_7J0KD5mKrp0Vvzr7lt3OU09vwQwhkpOPPYv2Y/edit?usp=sharing"",""งบพรบ!CS78"")"),0)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IFERROR(__xludf.DUMMYFUNCTION("IMPORTRANGE(""https://docs.google.com/spreadsheets/d/1eHaY18a8A9IcSdp1K8H6x8fbOy06t2VsZHhMHf-1x7Y/edit?usp=sharing"",""แผน!AA78"")"),7)</f>
        <v>7</v>
      </c>
      <c r="J184" s="168">
        <v>7</v>
      </c>
      <c r="K184" s="46">
        <f t="shared" ref="K184:K186" ca="1" si="129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40</v>
      </c>
      <c r="J186" s="221">
        <f t="shared" si="130"/>
        <v>43</v>
      </c>
      <c r="K186" s="222">
        <f t="shared" ca="1" si="129"/>
        <v>107.5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283100</v>
      </c>
      <c r="M187" s="132">
        <f t="shared" ca="1" si="131"/>
        <v>263000</v>
      </c>
      <c r="N187" s="132">
        <f t="shared" ca="1" si="131"/>
        <v>135029.34</v>
      </c>
      <c r="O187" s="132">
        <f t="shared" ref="O187:O195" ca="1" si="132">IF(L187&gt;0,N187*100/L187,0)</f>
        <v>47.696693747792303</v>
      </c>
      <c r="P187" s="132">
        <f t="shared" ref="P187:P195" ca="1" si="133">IF(M187&gt;0,N187*100/M187,0)</f>
        <v>51.341954372623576</v>
      </c>
      <c r="Q187" s="132">
        <f t="shared" ref="Q187:S187" ca="1" si="134">Q188+Q189</f>
        <v>141400</v>
      </c>
      <c r="R187" s="132">
        <f t="shared" ca="1" si="134"/>
        <v>141400</v>
      </c>
      <c r="S187" s="132">
        <f t="shared" ca="1" si="134"/>
        <v>0</v>
      </c>
      <c r="T187" s="132">
        <f t="shared" ref="T187:T195" ca="1" si="135">IF(Q187&gt;0,S187*100/Q187,0)</f>
        <v>0</v>
      </c>
      <c r="U187" s="132">
        <f t="shared" ref="U187:U195" ca="1" si="136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283100</v>
      </c>
      <c r="M189" s="46">
        <f t="shared" ca="1" si="137"/>
        <v>263000</v>
      </c>
      <c r="N189" s="46">
        <f t="shared" ca="1" si="137"/>
        <v>135029.34</v>
      </c>
      <c r="O189" s="46">
        <f t="shared" ca="1" si="132"/>
        <v>47.696693747792303</v>
      </c>
      <c r="P189" s="46">
        <f t="shared" ca="1" si="133"/>
        <v>51.341954372623576</v>
      </c>
      <c r="Q189" s="46">
        <f t="shared" ca="1" si="138"/>
        <v>141400</v>
      </c>
      <c r="R189" s="46">
        <f t="shared" ca="1" si="138"/>
        <v>141400</v>
      </c>
      <c r="S189" s="46">
        <f t="shared" ca="1" si="138"/>
        <v>0</v>
      </c>
      <c r="T189" s="46">
        <f t="shared" ca="1" si="135"/>
        <v>0</v>
      </c>
      <c r="U189" s="46">
        <f t="shared" ca="1" si="136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283100</v>
      </c>
      <c r="M190" s="46">
        <f t="shared" ca="1" si="139"/>
        <v>263000</v>
      </c>
      <c r="N190" s="46">
        <f t="shared" ca="1" si="139"/>
        <v>135029.34</v>
      </c>
      <c r="O190" s="46">
        <f t="shared" ca="1" si="132"/>
        <v>47.696693747792303</v>
      </c>
      <c r="P190" s="46">
        <f t="shared" ca="1" si="133"/>
        <v>51.341954372623576</v>
      </c>
      <c r="Q190" s="46">
        <f t="shared" ref="Q190:S190" ca="1" si="140">Q191+Q192</f>
        <v>141400</v>
      </c>
      <c r="R190" s="46">
        <f t="shared" ca="1" si="140"/>
        <v>141400</v>
      </c>
      <c r="S190" s="46">
        <f t="shared" ca="1" si="140"/>
        <v>0</v>
      </c>
      <c r="T190" s="46">
        <f t="shared" ca="1" si="135"/>
        <v>0</v>
      </c>
      <c r="U190" s="46">
        <f t="shared" ca="1" si="136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IFERROR(__xludf.DUMMYFUNCTION("IMPORTRANGE(""https://docs.google.com/spreadsheets/d/1-uDff_7J0KD5mKrp0Vvzr7lt3OU09vwQwhkpOPPYv2Y/edit?usp=sharing"",""งบพรบ!CU78"")"),283100)</f>
        <v>283100</v>
      </c>
      <c r="M192" s="46">
        <f ca="1">IFERROR(__xludf.DUMMYFUNCTION("IMPORTRANGE(""https://docs.google.com/spreadsheets/d/1-uDff_7J0KD5mKrp0Vvzr7lt3OU09vwQwhkpOPPYv2Y/edit?usp=sharing"",""งบพรบ!CZ78"")"),263000)</f>
        <v>263000</v>
      </c>
      <c r="N192" s="46">
        <f ca="1">IFERROR(__xludf.DUMMYFUNCTION("IMPORTRANGE(""https://docs.google.com/spreadsheets/d/1-uDff_7J0KD5mKrp0Vvzr7lt3OU09vwQwhkpOPPYv2Y/edit?usp=sharing"",""งบพรบ!DB78"")"),135029.34)</f>
        <v>135029.34</v>
      </c>
      <c r="O192" s="46">
        <f t="shared" ca="1" si="132"/>
        <v>47.696693747792303</v>
      </c>
      <c r="P192" s="46">
        <f t="shared" ca="1" si="133"/>
        <v>51.341954372623576</v>
      </c>
      <c r="Q192" s="46">
        <f ca="1">IFERROR(__xludf.DUMMYFUNCTION("IMPORTRANGE(""https://docs.google.com/spreadsheets/d/1ItG2mGa2ceCfYo0BwxsXqNm01IGEUdYcSSLTEv9YCik/edit?usp=sharing"",""เบิกจ่ายกองทุน!AV78"")"),141400)</f>
        <v>141400</v>
      </c>
      <c r="R192" s="46">
        <f ca="1">IFERROR(__xludf.DUMMYFUNCTION("IMPORTRANGE(""https://docs.google.com/spreadsheets/d/1ItG2mGa2ceCfYo0BwxsXqNm01IGEUdYcSSLTEv9YCik/edit?usp=sharing"",""เบิกจ่ายกองทุน!AW78"")"),141400)</f>
        <v>141400</v>
      </c>
      <c r="S192" s="46">
        <f ca="1">IFERROR(__xludf.DUMMYFUNCTION("IMPORTRANGE(""https://docs.google.com/spreadsheets/d/1ItG2mGa2ceCfYo0BwxsXqNm01IGEUdYcSSLTEv9YCik/edit?usp=sharing"",""เบิกจ่ายกองทุน!AX78"")"),0)</f>
        <v>0</v>
      </c>
      <c r="T192" s="46">
        <f t="shared" ca="1" si="135"/>
        <v>0</v>
      </c>
      <c r="U192" s="46">
        <f t="shared" ca="1" si="136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IFERROR(__xludf.DUMMYFUNCTION("IMPORTRANGE(""https://docs.google.com/spreadsheets/d/1-uDff_7J0KD5mKrp0Vvzr7lt3OU09vwQwhkpOPPYv2Y/edit?usp=sharing"",""งบพรบ!CX78"")"),0)</f>
        <v>0</v>
      </c>
      <c r="M195" s="46">
        <f ca="1">IFERROR(__xludf.DUMMYFUNCTION("IMPORTRANGE(""https://docs.google.com/spreadsheets/d/1-uDff_7J0KD5mKrp0Vvzr7lt3OU09vwQwhkpOPPYv2Y/edit?usp=sharing"",""งบพรบ!DA78"")"),0)</f>
        <v>0</v>
      </c>
      <c r="N195" s="46">
        <f ca="1">IFERROR(__xludf.DUMMYFUNCTION("IMPORTRANGE(""https://docs.google.com/spreadsheets/d/1-uDff_7J0KD5mKrp0Vvzr7lt3OU09vwQwhkpOPPYv2Y/edit?usp=sharing"",""งบพรบ!DC78"")"),0)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IFERROR(__xludf.DUMMYFUNCTION("IMPORTRANGE(""https://docs.google.com/spreadsheets/d/1eHaY18a8A9IcSdp1K8H6x8fbOy06t2VsZHhMHf-1x7Y/edit?usp=sharing"",""แผน!AB78"")"),6000)</f>
        <v>6000</v>
      </c>
      <c r="M197" s="45"/>
      <c r="N197" s="564">
        <v>940</v>
      </c>
      <c r="O197" s="132">
        <f ca="1">IF(L197&gt;0,N197*100/L197,0)</f>
        <v>15.666666666666666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IFERROR(__xludf.DUMMYFUNCTION("IMPORTRANGE(""https://docs.google.com/spreadsheets/d/1eHaY18a8A9IcSdp1K8H6x8fbOy06t2VsZHhMHf-1x7Y/edit?usp=sharing"",""แผน!AE78"")"),4)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98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f>50+48</f>
        <v>98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3</v>
      </c>
      <c r="J203" s="235">
        <f t="shared" si="144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15000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IFERROR(__xludf.DUMMYFUNCTION("IMPORTRANGE(""https://docs.google.com/spreadsheets/d/1eHaY18a8A9IcSdp1K8H6x8fbOy06t2VsZHhMHf-1x7Y/edit?usp=sharing"",""แผน!AG78"")"),2000)</f>
        <v>2000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IFERROR(__xludf.DUMMYFUNCTION("IMPORTRANGE(""https://docs.google.com/spreadsheets/d/1eHaY18a8A9IcSdp1K8H6x8fbOy06t2VsZHhMHf-1x7Y/edit?usp=sharing"",""แผน!AH78"")"),0)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IFERROR(__xludf.DUMMYFUNCTION("IMPORTRANGE(""https://docs.google.com/spreadsheets/d/1eHaY18a8A9IcSdp1K8H6x8fbOy06t2VsZHhMHf-1x7Y/edit?usp=sharing"",""แผน!AI78"")"),0)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IFERROR(__xludf.DUMMYFUNCTION("IMPORTRANGE(""https://docs.google.com/spreadsheets/d/1eHaY18a8A9IcSdp1K8H6x8fbOy06t2VsZHhMHf-1x7Y/edit?usp=sharing"",""แผน!AJ78"")"),13000)</f>
        <v>13000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IFERROR(__xludf.DUMMYFUNCTION("IMPORTRANGE(""https://docs.google.com/spreadsheets/d/1eHaY18a8A9IcSdp1K8H6x8fbOy06t2VsZHhMHf-1x7Y/edit?usp=sharing"",""แผน!AK78"")"),3)</f>
        <v>3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IFERROR(__xludf.DUMMYFUNCTION("IMPORTRANGE(""https://docs.google.com/spreadsheets/d/1eHaY18a8A9IcSdp1K8H6x8fbOy06t2VsZHhMHf-1x7Y/edit?usp=sharing"",""แผน!JX78"")"),2)</f>
        <v>2</v>
      </c>
      <c r="J212" s="168">
        <v>0</v>
      </c>
      <c r="K212" s="153">
        <f t="shared" ref="K212:K214" ca="1" si="145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IFERROR(__xludf.DUMMYFUNCTION("IMPORTRANGE(""https://docs.google.com/spreadsheets/d/1eHaY18a8A9IcSdp1K8H6x8fbOy06t2VsZHhMHf-1x7Y/edit?usp=sharing"",""แผน!JY78"")"),1)</f>
        <v>1</v>
      </c>
      <c r="J213" s="168">
        <v>0</v>
      </c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2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12000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IFERROR(__xludf.DUMMYFUNCTION("IMPORTRANGE(""https://docs.google.com/spreadsheets/d/1eHaY18a8A9IcSdp1K8H6x8fbOy06t2VsZHhMHf-1x7Y/edit?usp=sharing"",""แผน!AM78"")"),2000)</f>
        <v>2000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IFERROR(__xludf.DUMMYFUNCTION("IMPORTRANGE(""https://docs.google.com/spreadsheets/d/1eHaY18a8A9IcSdp1K8H6x8fbOy06t2VsZHhMHf-1x7Y/edit?usp=sharing"",""แผน!AN78"")"),10000)</f>
        <v>10000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IFERROR(__xludf.DUMMYFUNCTION("IMPORTRANGE(""https://docs.google.com/spreadsheets/d/1eHaY18a8A9IcSdp1K8H6x8fbOy06t2VsZHhMHf-1x7Y/edit?usp=sharing"",""แผน!AO78"")"),0)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IFERROR(__xludf.DUMMYFUNCTION("IMPORTRANGE(""https://docs.google.com/spreadsheets/d/1eHaY18a8A9IcSdp1K8H6x8fbOy06t2VsZHhMHf-1x7Y/edit?usp=sharing"",""แผน!AP78"")"),2)</f>
        <v>2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50000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8500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IFERROR(__xludf.DUMMYFUNCTION("IMPORTRANGE(""https://docs.google.com/spreadsheets/d/1eHaY18a8A9IcSdp1K8H6x8fbOy06t2VsZHhMHf-1x7Y/edit?usp=sharing"",""แผน!AR78"")"),2500)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IFERROR(__xludf.DUMMYFUNCTION("IMPORTRANGE(""https://docs.google.com/spreadsheets/d/1eHaY18a8A9IcSdp1K8H6x8fbOy06t2VsZHhMHf-1x7Y/edit?usp=sharing"",""แผน!AS78"")"),6000)</f>
        <v>6000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IFERROR(__xludf.DUMMYFUNCTION("IMPORTRANGE(""https://docs.google.com/spreadsheets/d/1eHaY18a8A9IcSdp1K8H6x8fbOy06t2VsZHhMHf-1x7Y/edit?usp=sharing"",""แผน!AT78"")"),0)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IFERROR(__xludf.DUMMYFUNCTION("IMPORTRANGE(""https://docs.google.com/spreadsheets/d/1eHaY18a8A9IcSdp1K8H6x8fbOy06t2VsZHhMHf-1x7Y/edit?usp=sharing"",""แผน!AV78"")"),50000)</f>
        <v>50000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IFERROR(__xludf.DUMMYFUNCTION("IMPORTRANGE(""https://docs.google.com/spreadsheets/d/1eHaY18a8A9IcSdp1K8H6x8fbOy06t2VsZHhMHf-1x7Y/edit?usp=sharing"",""แผน!AU78"")"),0)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40</v>
      </c>
      <c r="J232" s="573">
        <f t="shared" si="150"/>
        <v>43</v>
      </c>
      <c r="K232" s="574">
        <f t="shared" ca="1" si="149"/>
        <v>107.5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209600</v>
      </c>
      <c r="M233" s="45"/>
      <c r="N233" s="583">
        <f t="shared" ref="N233:N237" si="152">N244+N255</f>
        <v>107999.34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776" t="s">
        <v>299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15000</v>
      </c>
      <c r="M234" s="45"/>
      <c r="N234" s="48">
        <f t="shared" si="152"/>
        <v>4700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455" t="s">
        <v>87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91000</v>
      </c>
      <c r="M235" s="45"/>
      <c r="N235" s="48">
        <f t="shared" si="152"/>
        <v>64133.34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455" t="s">
        <v>88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45600</v>
      </c>
      <c r="M236" s="45"/>
      <c r="N236" s="48">
        <f t="shared" si="152"/>
        <v>39166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89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58000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40</v>
      </c>
      <c r="J239" s="340">
        <f t="shared" si="153"/>
        <v>43</v>
      </c>
      <c r="K239" s="48">
        <f ca="1">IF(I239&gt;0,J239*100/I239,0)</f>
        <v>107.5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ca="1" si="154">I252+I263</f>
        <v>40</v>
      </c>
      <c r="J241" s="340">
        <f t="shared" si="154"/>
        <v>0</v>
      </c>
      <c r="K241" s="48">
        <f t="shared" ref="K241:K243" ca="1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ca="1" si="154"/>
        <v>6</v>
      </c>
      <c r="J242" s="340">
        <f t="shared" si="154"/>
        <v>0</v>
      </c>
      <c r="K242" s="48">
        <f t="shared" ca="1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x14ac:dyDescent="0.3">
      <c r="A243" s="777"/>
      <c r="B243" s="778"/>
      <c r="C243" s="779" t="s">
        <v>315</v>
      </c>
      <c r="D243" s="780"/>
      <c r="E243" s="780"/>
      <c r="F243" s="780"/>
      <c r="G243" s="781"/>
      <c r="H243" s="782" t="s">
        <v>35</v>
      </c>
      <c r="I243" s="783">
        <f t="shared" ref="I243:J243" ca="1" si="156">I250</f>
        <v>40</v>
      </c>
      <c r="J243" s="783">
        <f t="shared" si="156"/>
        <v>43</v>
      </c>
      <c r="K243" s="784">
        <f t="shared" ca="1" si="155"/>
        <v>107.5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x14ac:dyDescent="0.3">
      <c r="A244" s="617"/>
      <c r="B244" s="618"/>
      <c r="C244" s="619" t="s">
        <v>18</v>
      </c>
      <c r="D244" s="620" t="s">
        <v>19</v>
      </c>
      <c r="E244" s="618"/>
      <c r="F244" s="618"/>
      <c r="G244" s="621"/>
      <c r="H244" s="785" t="s">
        <v>14</v>
      </c>
      <c r="I244" s="633"/>
      <c r="J244" s="633"/>
      <c r="K244" s="634"/>
      <c r="L244" s="545">
        <f ca="1">L245+L246+L247+L248</f>
        <v>209600</v>
      </c>
      <c r="M244" s="45"/>
      <c r="N244" s="132">
        <f>N245+N246+N247+N248</f>
        <v>107999.34</v>
      </c>
      <c r="O244" s="132">
        <f ca="1">IF(L244&gt;0,N244*100/L244,0)</f>
        <v>51.526402671755726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x14ac:dyDescent="0.25">
      <c r="A245" s="617"/>
      <c r="B245" s="688"/>
      <c r="C245" s="618"/>
      <c r="D245" s="786" t="s">
        <v>299</v>
      </c>
      <c r="E245" s="618"/>
      <c r="F245" s="618"/>
      <c r="G245" s="621"/>
      <c r="H245" s="632" t="s">
        <v>14</v>
      </c>
      <c r="I245" s="633"/>
      <c r="J245" s="633"/>
      <c r="K245" s="634"/>
      <c r="L245" s="519">
        <f ca="1">IFERROR(__xludf.DUMMYFUNCTION("IMPORTRANGE(""https://docs.google.com/spreadsheets/d/1eHaY18a8A9IcSdp1K8H6x8fbOy06t2VsZHhMHf-1x7Y/edit?usp=sharing"",""แผน!AX78"")"),15000)</f>
        <v>15000</v>
      </c>
      <c r="M245" s="45"/>
      <c r="N245" s="566">
        <f>360+1740+1240+1360</f>
        <v>4700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720"/>
      <c r="B246" s="688"/>
      <c r="C246" s="688"/>
      <c r="D246" s="440" t="s">
        <v>300</v>
      </c>
      <c r="E246" s="618"/>
      <c r="F246" s="618"/>
      <c r="G246" s="621"/>
      <c r="H246" s="632" t="s">
        <v>14</v>
      </c>
      <c r="I246" s="623"/>
      <c r="J246" s="623"/>
      <c r="K246" s="624"/>
      <c r="L246" s="519">
        <f ca="1">IFERROR(__xludf.DUMMYFUNCTION("IMPORTRANGE(""https://docs.google.com/spreadsheets/d/1eHaY18a8A9IcSdp1K8H6x8fbOy06t2VsZHhMHf-1x7Y/edit?usp=sharing"",""แผน!AY78"")"),91000)</f>
        <v>91000</v>
      </c>
      <c r="M246" s="45"/>
      <c r="N246" s="566">
        <f>13000+12133.34+13000+13000+13000</f>
        <v>64133.34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720"/>
      <c r="B247" s="688"/>
      <c r="C247" s="688"/>
      <c r="D247" s="440" t="s">
        <v>88</v>
      </c>
      <c r="E247" s="618"/>
      <c r="F247" s="618"/>
      <c r="G247" s="621"/>
      <c r="H247" s="632" t="s">
        <v>14</v>
      </c>
      <c r="I247" s="623"/>
      <c r="J247" s="623"/>
      <c r="K247" s="624"/>
      <c r="L247" s="519">
        <f ca="1">IFERROR(__xludf.DUMMYFUNCTION("IMPORTRANGE(""https://docs.google.com/spreadsheets/d/1eHaY18a8A9IcSdp1K8H6x8fbOy06t2VsZHhMHf-1x7Y/edit?usp=sharing"",""แผน!AZ78"")"),45600)</f>
        <v>45600</v>
      </c>
      <c r="M247" s="45"/>
      <c r="N247" s="566">
        <f>11681+11550+8660+7275</f>
        <v>39166</v>
      </c>
      <c r="O247" s="45"/>
      <c r="P247" s="45"/>
      <c r="Q247" s="45"/>
      <c r="R247" s="45"/>
      <c r="S247" s="45"/>
      <c r="T247" s="45"/>
      <c r="U247" s="45"/>
    </row>
    <row r="248" spans="1:21" ht="18.75" x14ac:dyDescent="0.25">
      <c r="A248" s="720"/>
      <c r="B248" s="688"/>
      <c r="C248" s="688"/>
      <c r="D248" s="270" t="s">
        <v>89</v>
      </c>
      <c r="E248" s="618"/>
      <c r="F248" s="618"/>
      <c r="G248" s="621"/>
      <c r="H248" s="632" t="s">
        <v>14</v>
      </c>
      <c r="I248" s="623"/>
      <c r="J248" s="623"/>
      <c r="K248" s="624"/>
      <c r="L248" s="519">
        <f ca="1">IFERROR(__xludf.DUMMYFUNCTION("IMPORTRANGE(""https://docs.google.com/spreadsheets/d/1eHaY18a8A9IcSdp1K8H6x8fbOy06t2VsZHhMHf-1x7Y/edit?usp=sharing"",""แผน!BA78"")"),58000)</f>
        <v>58000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x14ac:dyDescent="0.3">
      <c r="A249" s="636"/>
      <c r="B249" s="637"/>
      <c r="C249" s="787" t="s">
        <v>18</v>
      </c>
      <c r="D249" s="638" t="s">
        <v>38</v>
      </c>
      <c r="E249" s="610"/>
      <c r="F249" s="610"/>
      <c r="G249" s="611"/>
      <c r="H249" s="639"/>
      <c r="I249" s="633"/>
      <c r="J249" s="623"/>
      <c r="K249" s="624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x14ac:dyDescent="0.25">
      <c r="A250" s="636"/>
      <c r="B250" s="637"/>
      <c r="C250" s="637"/>
      <c r="D250" s="721" t="s">
        <v>108</v>
      </c>
      <c r="E250" s="756"/>
      <c r="F250" s="756"/>
      <c r="G250" s="639"/>
      <c r="H250" s="788" t="s">
        <v>35</v>
      </c>
      <c r="I250" s="691">
        <f ca="1">IFERROR(__xludf.DUMMYFUNCTION("IMPORTRANGE(""https://docs.google.com/spreadsheets/d/1eHaY18a8A9IcSdp1K8H6x8fbOy06t2VsZHhMHf-1x7Y/edit?usp=sharing"",""แผน!BG78"")"),40)</f>
        <v>40</v>
      </c>
      <c r="J250" s="723">
        <v>43</v>
      </c>
      <c r="K250" s="630">
        <f ca="1">IF(I250&gt;0,J250*100/I250,0)</f>
        <v>107.5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x14ac:dyDescent="0.25">
      <c r="A251" s="636"/>
      <c r="B251" s="637"/>
      <c r="C251" s="637"/>
      <c r="D251" s="789" t="s">
        <v>43</v>
      </c>
      <c r="E251" s="756"/>
      <c r="F251" s="756"/>
      <c r="G251" s="639"/>
      <c r="H251" s="639"/>
      <c r="I251" s="623"/>
      <c r="J251" s="623"/>
      <c r="K251" s="624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x14ac:dyDescent="0.25">
      <c r="A252" s="636"/>
      <c r="B252" s="637"/>
      <c r="C252" s="637"/>
      <c r="D252" s="637"/>
      <c r="E252" s="790" t="s">
        <v>109</v>
      </c>
      <c r="F252" s="756"/>
      <c r="G252" s="639"/>
      <c r="H252" s="788" t="s">
        <v>35</v>
      </c>
      <c r="I252" s="691">
        <f ca="1">IFERROR(__xludf.DUMMYFUNCTION("IMPORTRANGE(""https://docs.google.com/spreadsheets/d/1eHaY18a8A9IcSdp1K8H6x8fbOy06t2VsZHhMHf-1x7Y/edit?usp=sharing"",""แผน!KR78"")"),40)</f>
        <v>40</v>
      </c>
      <c r="J252" s="723">
        <v>0</v>
      </c>
      <c r="K252" s="630">
        <f t="shared" ref="K252:K254" ca="1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x14ac:dyDescent="0.25">
      <c r="A253" s="636"/>
      <c r="B253" s="637"/>
      <c r="C253" s="637"/>
      <c r="D253" s="637"/>
      <c r="E253" s="790" t="s">
        <v>110</v>
      </c>
      <c r="F253" s="756"/>
      <c r="G253" s="639"/>
      <c r="H253" s="788" t="s">
        <v>61</v>
      </c>
      <c r="I253" s="691">
        <f ca="1">IFERROR(__xludf.DUMMYFUNCTION("IMPORTRANGE(""https://docs.google.com/spreadsheets/d/1eHaY18a8A9IcSdp1K8H6x8fbOy06t2VsZHhMHf-1x7Y/edit?usp=sharing"",""แผน!KS78"")"),6)</f>
        <v>6</v>
      </c>
      <c r="J253" s="723">
        <v>0</v>
      </c>
      <c r="K253" s="630">
        <f t="shared" ca="1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786" t="s">
        <v>299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IFERROR(__xludf.DUMMYFUNCTION("IMPORTRANGE(""https://docs.google.com/spreadsheets/d/1eHaY18a8A9IcSdp1K8H6x8fbOy06t2VsZHhMHf-1x7Y/edit?usp=sharing"",""แผน!BB78"")"),0)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440" t="s">
        <v>87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IFERROR(__xludf.DUMMYFUNCTION("IMPORTRANGE(""https://docs.google.com/spreadsheets/d/1eHaY18a8A9IcSdp1K8H6x8fbOy06t2VsZHhMHf-1x7Y/edit?usp=sharing"",""แผน!BC78"")"),0)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440" t="s">
        <v>88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IFERROR(__xludf.DUMMYFUNCTION("IMPORTRANGE(""https://docs.google.com/spreadsheets/d/1eHaY18a8A9IcSdp1K8H6x8fbOy06t2VsZHhMHf-1x7Y/edit?usp=sharing"",""แผน!BD78"")"),0)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270" t="s">
        <v>89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IFERROR(__xludf.DUMMYFUNCTION("IMPORTRANGE(""https://docs.google.com/spreadsheets/d/1eHaY18a8A9IcSdp1K8H6x8fbOy06t2VsZHhMHf-1x7Y/edit?usp=sharing"",""แผน!BE78"")"),0)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IFERROR(__xludf.DUMMYFUNCTION("IMPORTRANGE(""https://docs.google.com/spreadsheets/d/1eHaY18a8A9IcSdp1K8H6x8fbOy06t2VsZHhMHf-1x7Y/edit?usp=sharing"",""แผน!BH78"")"),0)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24</v>
      </c>
      <c r="J266" s="613">
        <f t="shared" si="160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53440</v>
      </c>
      <c r="R267" s="626">
        <f t="shared" ca="1" si="164"/>
        <v>53440</v>
      </c>
      <c r="S267" s="626">
        <f t="shared" ca="1" si="164"/>
        <v>0</v>
      </c>
      <c r="T267" s="626">
        <f t="shared" ref="T267:T275" ca="1" si="165">IF(Q267&gt;0,S267*100/Q267,0)</f>
        <v>0</v>
      </c>
      <c r="U267" s="626">
        <f t="shared" ref="U267:U275" ca="1" si="166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53440</v>
      </c>
      <c r="R269" s="630">
        <f t="shared" ca="1" si="168"/>
        <v>53440</v>
      </c>
      <c r="S269" s="630">
        <f t="shared" ca="1" si="168"/>
        <v>0</v>
      </c>
      <c r="T269" s="630">
        <f t="shared" ca="1" si="165"/>
        <v>0</v>
      </c>
      <c r="U269" s="630">
        <f t="shared" ca="1" si="166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53440</v>
      </c>
      <c r="R270" s="630">
        <f t="shared" ca="1" si="170"/>
        <v>53440</v>
      </c>
      <c r="S270" s="630">
        <f t="shared" ca="1" si="170"/>
        <v>0</v>
      </c>
      <c r="T270" s="630">
        <f t="shared" ca="1" si="165"/>
        <v>0</v>
      </c>
      <c r="U270" s="630">
        <f t="shared" ca="1" si="166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IFERROR(__xludf.DUMMYFUNCTION("IMPORTRANGE(""https://docs.google.com/spreadsheets/d/1-uDff_7J0KD5mKrp0Vvzr7lt3OU09vwQwhkpOPPYv2Y/edit?usp=sharing"",""งบพรบ!DE78"")"),0)</f>
        <v>0</v>
      </c>
      <c r="M272" s="630">
        <f ca="1">IFERROR(__xludf.DUMMYFUNCTION("IMPORTRANGE(""https://docs.google.com/spreadsheets/d/1-uDff_7J0KD5mKrp0Vvzr7lt3OU09vwQwhkpOPPYv2Y/edit?usp=sharing"",""งบพรบ!DJ78"")"),5000)</f>
        <v>5000</v>
      </c>
      <c r="N272" s="630">
        <f ca="1">IFERROR(__xludf.DUMMYFUNCTION("IMPORTRANGE(""https://docs.google.com/spreadsheets/d/1-uDff_7J0KD5mKrp0Vvzr7lt3OU09vwQwhkpOPPYv2Y/edit?usp=sharing"",""งบพรบ!DL78"")"),0)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IFERROR(__xludf.DUMMYFUNCTION("IMPORTRANGE(""https://docs.google.com/spreadsheets/d/1ItG2mGa2ceCfYo0BwxsXqNm01IGEUdYcSSLTEv9YCik/edit?usp=sharing"",""เบิกจ่ายกองทุน!AJ78"")"),53440)</f>
        <v>53440</v>
      </c>
      <c r="R272" s="630">
        <f ca="1">IFERROR(__xludf.DUMMYFUNCTION("IMPORTRANGE(""https://docs.google.com/spreadsheets/d/1ItG2mGa2ceCfYo0BwxsXqNm01IGEUdYcSSLTEv9YCik/edit?usp=sharing"",""เบิกจ่ายกองทุน!AK78"")"),53440)</f>
        <v>53440</v>
      </c>
      <c r="S272" s="630">
        <f ca="1">IFERROR(__xludf.DUMMYFUNCTION("IMPORTRANGE(""https://docs.google.com/spreadsheets/d/1ItG2mGa2ceCfYo0BwxsXqNm01IGEUdYcSSLTEv9YCik/edit?usp=sharing"",""เบิกจ่ายกองทุน!AL78"")"),0)</f>
        <v>0</v>
      </c>
      <c r="T272" s="630">
        <f t="shared" ca="1" si="165"/>
        <v>0</v>
      </c>
      <c r="U272" s="630">
        <f t="shared" ca="1" si="166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IFERROR(__xludf.DUMMYFUNCTION("IMPORTRANGE(""https://docs.google.com/spreadsheets/d/1-uDff_7J0KD5mKrp0Vvzr7lt3OU09vwQwhkpOPPYv2Y/edit?usp=sharing"",""งบพรบ!DH78"")"),0)</f>
        <v>0</v>
      </c>
      <c r="M275" s="630">
        <f ca="1">IFERROR(__xludf.DUMMYFUNCTION("IMPORTRANGE(""https://docs.google.com/spreadsheets/d/1-uDff_7J0KD5mKrp0Vvzr7lt3OU09vwQwhkpOPPYv2Y/edit?usp=sharing"",""งบพรบ!DK78"")"),0)</f>
        <v>0</v>
      </c>
      <c r="N275" s="630">
        <f ca="1">IFERROR(__xludf.DUMMYFUNCTION("IMPORTRANGE(""https://docs.google.com/spreadsheets/d/1-uDff_7J0KD5mKrp0Vvzr7lt3OU09vwQwhkpOPPYv2Y/edit?usp=sharing"",""งบพรบ!DM78"")"),0)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IFERROR(__xludf.DUMMYFUNCTION("IMPORTRANGE(""https://docs.google.com/spreadsheets/d/1eHaY18a8A9IcSdp1K8H6x8fbOy06t2VsZHhMHf-1x7Y/edit?usp=sharing"",""แผน!EC78"")"),24)</f>
        <v>24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IFERROR(__xludf.DUMMYFUNCTION("IMPORTRANGE(""https://docs.google.com/spreadsheets/d/1-uDff_7J0KD5mKrp0Vvzr7lt3OU09vwQwhkpOPPYv2Y/edit?usp=sharing"",""งบพรบ!DO78"")"),0)</f>
        <v>0</v>
      </c>
      <c r="M288" s="46">
        <f ca="1">IFERROR(__xludf.DUMMYFUNCTION("IMPORTRANGE(""https://docs.google.com/spreadsheets/d/1-uDff_7J0KD5mKrp0Vvzr7lt3OU09vwQwhkpOPPYv2Y/edit?usp=sharing"",""งบพรบ!DT78"")"),0)</f>
        <v>0</v>
      </c>
      <c r="N288" s="46">
        <f ca="1">IFERROR(__xludf.DUMMYFUNCTION("IMPORTRANGE(""https://docs.google.com/spreadsheets/d/1-uDff_7J0KD5mKrp0Vvzr7lt3OU09vwQwhkpOPPYv2Y/edit?usp=sharing"",""งบพรบ!DV78"")"),0)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IFERROR(__xludf.DUMMYFUNCTION("IMPORTRANGE(""https://docs.google.com/spreadsheets/d/1-uDff_7J0KD5mKrp0Vvzr7lt3OU09vwQwhkpOPPYv2Y/edit?usp=sharing"",""งบพรบ!DR78"")"),0)</f>
        <v>0</v>
      </c>
      <c r="M291" s="46">
        <f ca="1">IFERROR(__xludf.DUMMYFUNCTION("IMPORTRANGE(""https://docs.google.com/spreadsheets/d/1-uDff_7J0KD5mKrp0Vvzr7lt3OU09vwQwhkpOPPYv2Y/edit?usp=sharing"",""งบพรบ!DU78"")"),0)</f>
        <v>0</v>
      </c>
      <c r="N291" s="46">
        <f ca="1">IFERROR(__xludf.DUMMYFUNCTION("IMPORTRANGE(""https://docs.google.com/spreadsheets/d/1-uDff_7J0KD5mKrp0Vvzr7lt3OU09vwQwhkpOPPYv2Y/edit?usp=sharing"",""งบพรบ!DW78"")"),0)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IFERROR(__xludf.DUMMYFUNCTION("IMPORTRANGE(""https://docs.google.com/spreadsheets/d/1eHaY18a8A9IcSdp1K8H6x8fbOy06t2VsZHhMHf-1x7Y/edit?usp=sharing"",""แผน!EE78"")"),0)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IFERROR(__xludf.DUMMYFUNCTION("IMPORTRANGE(""https://docs.google.com/spreadsheets/d/1eHaY18a8A9IcSdp1K8H6x8fbOy06t2VsZHhMHf-1x7Y/edit?usp=sharing"",""แผน!ED78"")"),0)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IFERROR(__xludf.DUMMYFUNCTION("IMPORTRANGE(""https://docs.google.com/spreadsheets/d/1eHaY18a8A9IcSdp1K8H6x8fbOy06t2VsZHhMHf-1x7Y/edit?usp=sharing"",""แผน!ED78"")"),0)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30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260958.39</v>
      </c>
      <c r="R304" s="132">
        <f t="shared" ca="1" si="194"/>
        <v>260958</v>
      </c>
      <c r="S304" s="132">
        <f t="shared" ca="1" si="194"/>
        <v>0</v>
      </c>
      <c r="T304" s="132">
        <f t="shared" ref="T304:T312" ca="1" si="195">IF(Q304&gt;0,S304*100/Q304,0)</f>
        <v>0</v>
      </c>
      <c r="U304" s="132">
        <f t="shared" ref="U304:U312" ca="1" si="196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260958.39</v>
      </c>
      <c r="R306" s="46">
        <f t="shared" ca="1" si="198"/>
        <v>260958</v>
      </c>
      <c r="S306" s="46">
        <f t="shared" ca="1" si="198"/>
        <v>0</v>
      </c>
      <c r="T306" s="46">
        <f t="shared" ca="1" si="195"/>
        <v>0</v>
      </c>
      <c r="U306" s="46">
        <f t="shared" ca="1" si="196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260958.39</v>
      </c>
      <c r="R307" s="46">
        <f t="shared" ca="1" si="200"/>
        <v>260958</v>
      </c>
      <c r="S307" s="46">
        <f t="shared" ca="1" si="200"/>
        <v>0</v>
      </c>
      <c r="T307" s="46">
        <f t="shared" ca="1" si="195"/>
        <v>0</v>
      </c>
      <c r="U307" s="46">
        <f t="shared" ca="1" si="196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IFERROR(__xludf.DUMMYFUNCTION("IMPORTRANGE(""https://docs.google.com/spreadsheets/d/1-uDff_7J0KD5mKrp0Vvzr7lt3OU09vwQwhkpOPPYv2Y/edit?usp=sharing"",""งบพรบ!DY78"")"),0)</f>
        <v>0</v>
      </c>
      <c r="M309" s="46">
        <f ca="1">IFERROR(__xludf.DUMMYFUNCTION("IMPORTRANGE(""https://docs.google.com/spreadsheets/d/1-uDff_7J0KD5mKrp0Vvzr7lt3OU09vwQwhkpOPPYv2Y/edit?usp=sharing"",""งบพรบ!ED78"")"),0)</f>
        <v>0</v>
      </c>
      <c r="N309" s="46">
        <f ca="1">IFERROR(__xludf.DUMMYFUNCTION("IMPORTRANGE(""https://docs.google.com/spreadsheets/d/1-uDff_7J0KD5mKrp0Vvzr7lt3OU09vwQwhkpOPPYv2Y/edit?usp=sharing"",""งบพรบ!EF78"")"),0)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IFERROR(__xludf.DUMMYFUNCTION("IMPORTRANGE(""https://docs.google.com/spreadsheets/d/1ItG2mGa2ceCfYo0BwxsXqNm01IGEUdYcSSLTEv9YCik/edit?usp=sharing"",""เบิกจ่ายกองทุน!AP78"")"),260958.39)</f>
        <v>260958.39</v>
      </c>
      <c r="R309" s="46">
        <f ca="1">IFERROR(__xludf.DUMMYFUNCTION("IMPORTRANGE(""https://docs.google.com/spreadsheets/d/1ItG2mGa2ceCfYo0BwxsXqNm01IGEUdYcSSLTEv9YCik/edit?usp=sharing"",""เบิกจ่ายกองทุน!AQ78"")"),260958)</f>
        <v>260958</v>
      </c>
      <c r="S309" s="46">
        <f ca="1">IFERROR(__xludf.DUMMYFUNCTION("IMPORTRANGE(""https://docs.google.com/spreadsheets/d/1ItG2mGa2ceCfYo0BwxsXqNm01IGEUdYcSSLTEv9YCik/edit?usp=sharing"",""เบิกจ่ายกองทุน!AR78"")"),0)</f>
        <v>0</v>
      </c>
      <c r="T309" s="46">
        <f t="shared" ca="1" si="195"/>
        <v>0</v>
      </c>
      <c r="U309" s="46">
        <f t="shared" ca="1" si="196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IFERROR(__xludf.DUMMYFUNCTION("IMPORTRANGE(""https://docs.google.com/spreadsheets/d/1-uDff_7J0KD5mKrp0Vvzr7lt3OU09vwQwhkpOPPYv2Y/edit?usp=sharing"",""งบพรบ!EB78"")"),0)</f>
        <v>0</v>
      </c>
      <c r="M312" s="46">
        <f ca="1">IFERROR(__xludf.DUMMYFUNCTION("IMPORTRANGE(""https://docs.google.com/spreadsheets/d/1-uDff_7J0KD5mKrp0Vvzr7lt3OU09vwQwhkpOPPYv2Y/edit?usp=sharing"",""งบพรบ!EE78"")"),0)</f>
        <v>0</v>
      </c>
      <c r="N312" s="46">
        <f ca="1">IFERROR(__xludf.DUMMYFUNCTION("IMPORTRANGE(""https://docs.google.com/spreadsheets/d/1-uDff_7J0KD5mKrp0Vvzr7lt3OU09vwQwhkpOPPYv2Y/edit?usp=sharing"",""งบพรบ!EG78"")"),0)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IFERROR(__xludf.DUMMYFUNCTION("IMPORTRANGE(""https://docs.google.com/spreadsheets/d/1eHaY18a8A9IcSdp1K8H6x8fbOy06t2VsZHhMHf-1x7Y/edit?usp=sharing"",""แผน!EF78"")"),30)</f>
        <v>30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0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0</v>
      </c>
      <c r="M321" s="132">
        <f t="shared" ca="1" si="204"/>
        <v>0</v>
      </c>
      <c r="N321" s="132">
        <f t="shared" ca="1" si="204"/>
        <v>0</v>
      </c>
      <c r="O321" s="132">
        <f t="shared" ref="O321:O329" ca="1" si="205">IF(L321&gt;0,N321*100/L321,0)</f>
        <v>0</v>
      </c>
      <c r="P321" s="132">
        <f t="shared" ref="P321:P329" ca="1" si="206">IF(M321&gt;0,N321*100/M321,0)</f>
        <v>0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0</v>
      </c>
      <c r="M323" s="46">
        <f t="shared" ca="1" si="210"/>
        <v>0</v>
      </c>
      <c r="N323" s="46">
        <f t="shared" ca="1" si="210"/>
        <v>0</v>
      </c>
      <c r="O323" s="46">
        <f t="shared" ca="1" si="205"/>
        <v>0</v>
      </c>
      <c r="P323" s="46">
        <f t="shared" ca="1" si="206"/>
        <v>0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0</v>
      </c>
      <c r="M324" s="46">
        <f t="shared" ca="1" si="212"/>
        <v>0</v>
      </c>
      <c r="N324" s="46">
        <f t="shared" ca="1" si="212"/>
        <v>0</v>
      </c>
      <c r="O324" s="46">
        <f t="shared" ca="1" si="205"/>
        <v>0</v>
      </c>
      <c r="P324" s="46">
        <f t="shared" ca="1" si="206"/>
        <v>0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IFERROR(__xludf.DUMMYFUNCTION("IMPORTRANGE(""https://docs.google.com/spreadsheets/d/1-uDff_7J0KD5mKrp0Vvzr7lt3OU09vwQwhkpOPPYv2Y/edit?usp=sharing"",""งบพรบ!EI78"")"),0)</f>
        <v>0</v>
      </c>
      <c r="M326" s="46">
        <f ca="1">IFERROR(__xludf.DUMMYFUNCTION("IMPORTRANGE(""https://docs.google.com/spreadsheets/d/1-uDff_7J0KD5mKrp0Vvzr7lt3OU09vwQwhkpOPPYv2Y/edit?usp=sharing"",""งบพรบ!EN78"")"),0)</f>
        <v>0</v>
      </c>
      <c r="N326" s="46">
        <f ca="1">IFERROR(__xludf.DUMMYFUNCTION("IMPORTRANGE(""https://docs.google.com/spreadsheets/d/1-uDff_7J0KD5mKrp0Vvzr7lt3OU09vwQwhkpOPPYv2Y/edit?usp=sharing"",""งบพรบ!EP78"")"),0)</f>
        <v>0</v>
      </c>
      <c r="O326" s="46">
        <f t="shared" ca="1" si="205"/>
        <v>0</v>
      </c>
      <c r="P326" s="46">
        <f t="shared" ca="1" si="206"/>
        <v>0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IFERROR(__xludf.DUMMYFUNCTION("IMPORTRANGE(""https://docs.google.com/spreadsheets/d/1-uDff_7J0KD5mKrp0Vvzr7lt3OU09vwQwhkpOPPYv2Y/edit?usp=sharing"",""งบพรบ!EL78"")"),0)</f>
        <v>0</v>
      </c>
      <c r="M329" s="46">
        <f ca="1">IFERROR(__xludf.DUMMYFUNCTION("IMPORTRANGE(""https://docs.google.com/spreadsheets/d/1-uDff_7J0KD5mKrp0Vvzr7lt3OU09vwQwhkpOPPYv2Y/edit?usp=sharing"",""งบพรบ!EO78"")"),0)</f>
        <v>0</v>
      </c>
      <c r="N329" s="46">
        <f ca="1">IFERROR(__xludf.DUMMYFUNCTION("IMPORTRANGE(""https://docs.google.com/spreadsheets/d/1-uDff_7J0KD5mKrp0Vvzr7lt3OU09vwQwhkpOPPYv2Y/edit?usp=sharing"",""งบพรบ!EQ78"")"),0)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IFERROR(__xludf.DUMMYFUNCTION("IMPORTRANGE(""https://docs.google.com/spreadsheets/d/1eHaY18a8A9IcSdp1K8H6x8fbOy06t2VsZHhMHf-1x7Y/edit?usp=sharing"",""แผน!EJ78"")"),0)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1060</v>
      </c>
      <c r="J333" s="665">
        <f ca="1">J345+J348+J349+J350+J354</f>
        <v>5766</v>
      </c>
      <c r="K333" s="666">
        <f ca="1">IF(I333&gt;0,J333*100/I333,0)</f>
        <v>543.96226415094338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110000</v>
      </c>
      <c r="M334" s="132">
        <f t="shared" ca="1" si="216"/>
        <v>166175</v>
      </c>
      <c r="N334" s="132">
        <f t="shared" ca="1" si="216"/>
        <v>131446.6</v>
      </c>
      <c r="O334" s="132">
        <f t="shared" ref="O334:O342" ca="1" si="217">IF(L334&gt;0,N334*100/L334,0)</f>
        <v>119.49690909090909</v>
      </c>
      <c r="P334" s="132">
        <f t="shared" ref="P334:P342" ca="1" si="218">IF(M334&gt;0,N334*100/M334,0)</f>
        <v>79.101308861140367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110000</v>
      </c>
      <c r="M336" s="46">
        <f t="shared" ca="1" si="222"/>
        <v>166175</v>
      </c>
      <c r="N336" s="46">
        <f t="shared" ca="1" si="222"/>
        <v>131446.6</v>
      </c>
      <c r="O336" s="46">
        <f t="shared" ca="1" si="217"/>
        <v>119.49690909090909</v>
      </c>
      <c r="P336" s="46">
        <f t="shared" ca="1" si="218"/>
        <v>79.101308861140367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110000</v>
      </c>
      <c r="M337" s="46">
        <f t="shared" ca="1" si="224"/>
        <v>166175</v>
      </c>
      <c r="N337" s="46">
        <f t="shared" ca="1" si="224"/>
        <v>131446.6</v>
      </c>
      <c r="O337" s="46">
        <f t="shared" ca="1" si="217"/>
        <v>119.49690909090909</v>
      </c>
      <c r="P337" s="46">
        <f t="shared" ca="1" si="218"/>
        <v>79.101308861140367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IFERROR(__xludf.DUMMYFUNCTION("IMPORTRANGE(""https://docs.google.com/spreadsheets/d/1-uDff_7J0KD5mKrp0Vvzr7lt3OU09vwQwhkpOPPYv2Y/edit?usp=sharing"",""งบพรบ!ES78"")"),110000)</f>
        <v>110000</v>
      </c>
      <c r="M339" s="46">
        <f ca="1">IFERROR(__xludf.DUMMYFUNCTION("IMPORTRANGE(""https://docs.google.com/spreadsheets/d/1-uDff_7J0KD5mKrp0Vvzr7lt3OU09vwQwhkpOPPYv2Y/edit?usp=sharing"",""งบพรบ!EX78"")"),166175)</f>
        <v>166175</v>
      </c>
      <c r="N339" s="46">
        <f ca="1">IFERROR(__xludf.DUMMYFUNCTION("IMPORTRANGE(""https://docs.google.com/spreadsheets/d/1-uDff_7J0KD5mKrp0Vvzr7lt3OU09vwQwhkpOPPYv2Y/edit?usp=sharing"",""งบพรบ!EZ78"")"),131446.6)</f>
        <v>131446.6</v>
      </c>
      <c r="O339" s="46">
        <f t="shared" ca="1" si="217"/>
        <v>119.49690909090909</v>
      </c>
      <c r="P339" s="46">
        <f t="shared" ca="1" si="218"/>
        <v>79.101308861140367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IFERROR(__xludf.DUMMYFUNCTION("IMPORTRANGE(""https://docs.google.com/spreadsheets/d/1-uDff_7J0KD5mKrp0Vvzr7lt3OU09vwQwhkpOPPYv2Y/edit?usp=sharing"",""งบพรบ!EV78"")"),0)</f>
        <v>0</v>
      </c>
      <c r="M342" s="46">
        <f ca="1">IFERROR(__xludf.DUMMYFUNCTION("IMPORTRANGE(""https://docs.google.com/spreadsheets/d/1-uDff_7J0KD5mKrp0Vvzr7lt3OU09vwQwhkpOPPYv2Y/edit?usp=sharing"",""งบพรบ!EY78"")"),0)</f>
        <v>0</v>
      </c>
      <c r="N342" s="46">
        <f ca="1">IFERROR(__xludf.DUMMYFUNCTION("IMPORTRANGE(""https://docs.google.com/spreadsheets/d/1-uDff_7J0KD5mKrp0Vvzr7lt3OU09vwQwhkpOPPYv2Y/edit?usp=sharing"",""งบพรบ!FA78"")"),0)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1737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IFERROR(__xludf.DUMMYFUNCTION("IMPORTRANGE(""https://docs.google.com/spreadsheets/d/1eHaY18a8A9IcSdp1K8H6x8fbOy06t2VsZHhMHf-1x7Y/edit?usp=sharing"",""แผน!EK78"")"),1060)</f>
        <v>1060</v>
      </c>
      <c r="J345" s="152">
        <f ca="1">IFERROR(__xludf.DUMMYFUNCTION("IMPORTRANGE(""https://docs.google.com/spreadsheets/d/1awYsYK3VOup2i3Pq_Yjnu8DRu_mYwSBnCR2QPthd0rU/edit?usp=sharing"",""ศูนย์ยกเว้นโฉนด!D78"")"),1735)</f>
        <v>1735</v>
      </c>
      <c r="K345" s="46">
        <f ca="1">IF(I345&gt;0,J345*100/I345,0)</f>
        <v>163.67924528301887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IFERROR(__xludf.DUMMYFUNCTION("IMPORTRANGE(""https://docs.google.com/spreadsheets/d/1eHaY18a8A9IcSdp1K8H6x8fbOy06t2VsZHhMHf-1x7Y/edit?usp=sharing"",""แผน!EL78"")"),5)</f>
        <v>5</v>
      </c>
      <c r="J347" s="152">
        <f ca="1">IFERROR(__xludf.DUMMYFUNCTION("IMPORTRANGE(""https://docs.google.com/spreadsheets/d/1awYsYK3VOup2i3Pq_Yjnu8DRu_mYwSBnCR2QPthd0rU/edit?usp=sharing"",""ศูนย์รวม!E78"")"),5)</f>
        <v>5</v>
      </c>
      <c r="K347" s="46">
        <f ca="1">IF(I347&gt;0,J347*100/I347,0)</f>
        <v>100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IFERROR(__xludf.DUMMYFUNCTION("IMPORTRANGE(""https://docs.google.com/spreadsheets/d/1awYsYK3VOup2i3Pq_Yjnu8DRu_mYwSBnCR2QPthd0rU/edit?usp=sharing"",""ศูนย์ยกเว้นโฉนด!G78"")"),0)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6149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IFERROR(__xludf.DUMMYFUNCTION("IMPORTRANGE(""https://docs.google.com/spreadsheets/d/1awYsYK3VOup2i3Pq_Yjnu8DRu_mYwSBnCR2QPthd0rU/edit?usp=sharing"",""โฉนดM3!G78"")"),2120)</f>
        <v>2120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IFERROR(__xludf.DUMMYFUNCTION("IMPORTRANGE(""https://docs.google.com/spreadsheets/d/1awYsYK3VOup2i3Pq_Yjnu8DRu_mYwSBnCR2QPthd0rU/edit?usp=sharing"",""โฉนดM3!H78"")"),4029)</f>
        <v>4029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760985</v>
      </c>
      <c r="M357" s="132">
        <f t="shared" ca="1" si="228"/>
        <v>760985</v>
      </c>
      <c r="N357" s="132">
        <f t="shared" ca="1" si="228"/>
        <v>462032.72</v>
      </c>
      <c r="O357" s="132">
        <f t="shared" ref="O357:O365" ca="1" si="229">IF(L357&gt;0,N357*100/L357,0)</f>
        <v>60.715088996497961</v>
      </c>
      <c r="P357" s="132">
        <f t="shared" ref="P357:P365" ca="1" si="230">IF(M357&gt;0,N357*100/M357,0)</f>
        <v>60.715088996497961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760985</v>
      </c>
      <c r="M359" s="46">
        <f t="shared" ca="1" si="234"/>
        <v>760985</v>
      </c>
      <c r="N359" s="46">
        <f t="shared" ca="1" si="234"/>
        <v>462032.72</v>
      </c>
      <c r="O359" s="46">
        <f t="shared" ca="1" si="229"/>
        <v>60.715088996497961</v>
      </c>
      <c r="P359" s="46">
        <f t="shared" ca="1" si="230"/>
        <v>60.715088996497961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760985</v>
      </c>
      <c r="M360" s="46">
        <f t="shared" ca="1" si="236"/>
        <v>760985</v>
      </c>
      <c r="N360" s="46">
        <f t="shared" ca="1" si="236"/>
        <v>462032.72</v>
      </c>
      <c r="O360" s="46">
        <f t="shared" ca="1" si="229"/>
        <v>60.715088996497961</v>
      </c>
      <c r="P360" s="46">
        <f t="shared" ca="1" si="230"/>
        <v>60.715088996497961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IFERROR(__xludf.DUMMYFUNCTION("IMPORTRANGE(""https://docs.google.com/spreadsheets/d/1-uDff_7J0KD5mKrp0Vvzr7lt3OU09vwQwhkpOPPYv2Y/edit?usp=sharing"",""งบพรบ!FC78"")"),760985)</f>
        <v>760985</v>
      </c>
      <c r="M362" s="46">
        <f ca="1">IFERROR(__xludf.DUMMYFUNCTION("IMPORTRANGE(""https://docs.google.com/spreadsheets/d/1-uDff_7J0KD5mKrp0Vvzr7lt3OU09vwQwhkpOPPYv2Y/edit?usp=sharing"",""งบพรบ!FH78"")"),760985)</f>
        <v>760985</v>
      </c>
      <c r="N362" s="46">
        <f ca="1">IFERROR(__xludf.DUMMYFUNCTION("IMPORTRANGE(""https://docs.google.com/spreadsheets/d/1-uDff_7J0KD5mKrp0Vvzr7lt3OU09vwQwhkpOPPYv2Y/edit?usp=sharing"",""งบพรบ!FJ78"")"),462032.72)</f>
        <v>462032.72</v>
      </c>
      <c r="O362" s="46">
        <f t="shared" ca="1" si="229"/>
        <v>60.715088996497961</v>
      </c>
      <c r="P362" s="46">
        <f t="shared" ca="1" si="230"/>
        <v>60.715088996497961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IFERROR(__xludf.DUMMYFUNCTION("IMPORTRANGE(""https://docs.google.com/spreadsheets/d/1-uDff_7J0KD5mKrp0Vvzr7lt3OU09vwQwhkpOPPYv2Y/edit?usp=sharing"",""งบพรบ!FF78"")"),0)</f>
        <v>0</v>
      </c>
      <c r="M365" s="46">
        <f ca="1">IFERROR(__xludf.DUMMYFUNCTION("IMPORTRANGE(""https://docs.google.com/spreadsheets/d/1-uDff_7J0KD5mKrp0Vvzr7lt3OU09vwQwhkpOPPYv2Y/edit?usp=sharing"",""งบพรบ!FI78"")"),0)</f>
        <v>0</v>
      </c>
      <c r="N365" s="46">
        <f ca="1">IFERROR(__xludf.DUMMYFUNCTION("IMPORTRANGE(""https://docs.google.com/spreadsheets/d/1-uDff_7J0KD5mKrp0Vvzr7lt3OU09vwQwhkpOPPYv2Y/edit?usp=sharing"",""งบพรบ!FK78"")"),0)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468</v>
      </c>
      <c r="J366" s="235">
        <f t="shared" ca="1" si="240"/>
        <v>171</v>
      </c>
      <c r="K366" s="236">
        <f ca="1">IF(I366&gt;0,J366*100/I366,0)</f>
        <v>36.53846153846154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IFERROR(__xludf.DUMMYFUNCTION("IMPORTRANGE(""https://docs.google.com/spreadsheets/d/1tdoBKaGub7dwA3U6UFTqxio9LNnvDCQjHKmttSEBsFQ/edit?usp=sharing"",""จัดที่ดิน!AB78"")"),194)</f>
        <v>194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IFERROR(__xludf.DUMMYFUNCTION("IMPORTRANGE(""https://docs.google.com/spreadsheets/d/1eHaY18a8A9IcSdp1K8H6x8fbOy06t2VsZHhMHf-1x7Y/edit?usp=sharing"",""แผน!EW78"")"),4210)</f>
        <v>4210</v>
      </c>
      <c r="J369" s="676">
        <f ca="1">IFERROR(__xludf.DUMMYFUNCTION("IMPORTRANGE(""https://docs.google.com/spreadsheets/d/1tdoBKaGub7dwA3U6UFTqxio9LNnvDCQjHKmttSEBsFQ/edit?usp=sharing"",""จัดที่ดิน!AC78"")"),1129.61)</f>
        <v>1129.6099999999999</v>
      </c>
      <c r="K369" s="46">
        <f t="shared" ca="1" si="241"/>
        <v>26.831591448931114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IFERROR(__xludf.DUMMYFUNCTION("IMPORTRANGE(""https://docs.google.com/spreadsheets/d/1eHaY18a8A9IcSdp1K8H6x8fbOy06t2VsZHhMHf-1x7Y/edit?usp=sharing"",""แผน!EX78"")"),717)</f>
        <v>717</v>
      </c>
      <c r="J370" s="152">
        <f ca="1">IFERROR(__xludf.DUMMYFUNCTION("IMPORTRANGE(""https://docs.google.com/spreadsheets/d/1tdoBKaGub7dwA3U6UFTqxio9LNnvDCQjHKmttSEBsFQ/edit?usp=sharing"",""จัดที่ดิน!AD78"")"),328)</f>
        <v>328</v>
      </c>
      <c r="K370" s="46">
        <f t="shared" ca="1" si="241"/>
        <v>45.746164574616458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IFERROR(__xludf.DUMMYFUNCTION("IMPORTRANGE(""https://docs.google.com/spreadsheets/d/1tdoBKaGub7dwA3U6UFTqxio9LNnvDCQjHKmttSEBsFQ/edit?usp=sharing"",""จัดที่ดิน!AE78"")"),2939.56999999999)</f>
        <v>2939.5699999999902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IFERROR(__xludf.DUMMYFUNCTION("IMPORTRANGE(""https://docs.google.com/spreadsheets/d/1eHaY18a8A9IcSdp1K8H6x8fbOy06t2VsZHhMHf-1x7Y/edit?usp=sharing"",""แผน!EY78"")"),468)</f>
        <v>468</v>
      </c>
      <c r="J372" s="152">
        <f ca="1">IFERROR(__xludf.DUMMYFUNCTION("IMPORTRANGE(""https://docs.google.com/spreadsheets/d/1tdoBKaGub7dwA3U6UFTqxio9LNnvDCQjHKmttSEBsFQ/edit?usp=sharing"",""จัดที่ดิน!AF78"")"),171)</f>
        <v>171</v>
      </c>
      <c r="K372" s="46">
        <f t="shared" ca="1" si="241"/>
        <v>36.53846153846154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IFERROR(__xludf.DUMMYFUNCTION("IMPORTRANGE(""https://docs.google.com/spreadsheets/d/1tdoBKaGub7dwA3U6UFTqxio9LNnvDCQjHKmttSEBsFQ/edit?usp=sharing"",""จัดที่ดิน!AG78"")"),1788.62)</f>
        <v>1788.62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1000</v>
      </c>
      <c r="J375" s="684">
        <f t="shared" ca="1" si="242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62500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62500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62500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IFERROR(__xludf.DUMMYFUNCTION("IMPORTRANGE(""https://docs.google.com/spreadsheets/d/1ItG2mGa2ceCfYo0BwxsXqNm01IGEUdYcSSLTEv9YCik/edit?usp=sharing"",""เบิกจ่ายกองทุน!AY78"")"),62500)</f>
        <v>62500</v>
      </c>
      <c r="R381" s="46">
        <f ca="1">IFERROR(__xludf.DUMMYFUNCTION("IMPORTRANGE(""https://docs.google.com/spreadsheets/d/1ItG2mGa2ceCfYo0BwxsXqNm01IGEUdYcSSLTEv9YCik/edit?usp=sharing"",""เบิกจ่ายกองทุน!AZ78"")"),0)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IFERROR(__xludf.DUMMYFUNCTION("IMPORTRANGE(""https://docs.google.com/spreadsheets/d/1ItG2mGa2ceCfYo0BwxsXqNm01IGEUdYcSSLTEv9YCik/edit?usp=sharing"",""เบิกจ่ายกองทุน!BA78"")"),0)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IFERROR(__xludf.DUMMYFUNCTION("IMPORTRANGE(""https://docs.google.com/spreadsheets/d/1w5rwWK1o49a35cNtocGL0gxDwhFSTZUQu90BiH9_zqM/edit?usp=sharing"",""RTK!H78"")"),0)</f>
        <v>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IFERROR(__xludf.DUMMYFUNCTION("IMPORTRANGE(""https://docs.google.com/spreadsheets/d/1w5rwWK1o49a35cNtocGL0gxDwhFSTZUQu90BiH9_zqM/edit?usp=sharing"",""RTK!G78"")"),1000)</f>
        <v>1000</v>
      </c>
      <c r="J387" s="152">
        <f ca="1">IFERROR(__xludf.DUMMYFUNCTION("IMPORTRANGE(""https://docs.google.com/spreadsheets/d/1w5rwWK1o49a35cNtocGL0gxDwhFSTZUQu90BiH9_zqM/edit?usp=sharing"",""RTK!I78"")"),0)</f>
        <v>0</v>
      </c>
      <c r="K387" s="46">
        <f t="shared" ca="1" si="255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IFERROR(__xludf.DUMMYFUNCTION("IMPORTRANGE(""https://docs.google.com/spreadsheets/d/1w5rwWK1o49a35cNtocGL0gxDwhFSTZUQu90BiH9_zqM/edit?usp=sharing"",""RTK!L78"")"),0)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IFERROR(__xludf.DUMMYFUNCTION("IMPORTRANGE(""https://docs.google.com/spreadsheets/d/1w5rwWK1o49a35cNtocGL0gxDwhFSTZUQu90BiH9_zqM/edit?usp=sharing"",""RTK!K78"")"),0)</f>
        <v>0</v>
      </c>
      <c r="J389" s="691">
        <f ca="1">IFERROR(__xludf.DUMMYFUNCTION("IMPORTRANGE(""https://docs.google.com/spreadsheets/d/1w5rwWK1o49a35cNtocGL0gxDwhFSTZUQu90BiH9_zqM/edit?usp=sharing"",""RTK!M78"")"),0)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IFERROR(__xludf.DUMMYFUNCTION("IMPORTRANGE(""https://docs.google.com/spreadsheets/d/1ItG2mGa2ceCfYo0BwxsXqNm01IGEUdYcSSLTEv9YCik/edit?usp=sharing"",""เบิกจ่ายกองทุน!BH78"")"),0)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IFERROR(__xludf.DUMMYFUNCTION("IMPORTRANGE(""https://docs.google.com/spreadsheets/d/1ItG2mGa2ceCfYo0BwxsXqNm01IGEUdYcSSLTEv9YCik/edit?usp=sharing"",""เบิกจ่ายกองทุน!BI78"")"),0)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IFERROR(__xludf.DUMMYFUNCTION("IMPORTRANGE(""https://docs.google.com/spreadsheets/d/1ItG2mGa2ceCfYo0BwxsXqNm01IGEUdYcSSLTEv9YCik/edit?usp=sharing"",""เบิกจ่ายกองทุน!BJ78"")"),0)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IFERROR(__xludf.DUMMYFUNCTION("IMPORTRANGE(""https://docs.google.com/spreadsheets/d/1eHaY18a8A9IcSdp1K8H6x8fbOy06t2VsZHhMHf-1x7Y/edit?usp=sharing"",""แผน!HJ78"")"),0)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IFERROR(__xludf.DUMMYFUNCTION("IMPORTRANGE(""https://docs.google.com/spreadsheets/d/1eHaY18a8A9IcSdp1K8H6x8fbOy06t2VsZHhMHf-1x7Y/edit?usp=sharing"",""แผน!HK78"")"),0)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IFERROR(__xludf.DUMMYFUNCTION("IMPORTRANGE(""https://docs.google.com/spreadsheets/d/1eHaY18a8A9IcSdp1K8H6x8fbOy06t2VsZHhMHf-1x7Y/edit?usp=sharing"",""แผน!HJ78"")"),0)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IFERROR(__xludf.DUMMYFUNCTION("IMPORTRANGE(""https://docs.google.com/spreadsheets/d/1eHaY18a8A9IcSdp1K8H6x8fbOy06t2VsZHhMHf-1x7Y/edit?usp=sharing"",""แผน!HK78"")"),0)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IFERROR(__xludf.DUMMYFUNCTION("IMPORTRANGE(""https://docs.google.com/spreadsheets/d/1eHaY18a8A9IcSdp1K8H6x8fbOy06t2VsZHhMHf-1x7Y/edit?usp=sharing"",""แผน!HJ78"")"),0)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IFERROR(__xludf.DUMMYFUNCTION("IMPORTRANGE(""https://docs.google.com/spreadsheets/d/1eHaY18a8A9IcSdp1K8H6x8fbOy06t2VsZHhMHf-1x7Y/edit?usp=sharing"",""แผน!HK78"")"),0)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IFERROR(__xludf.DUMMYFUNCTION("IMPORTRANGE(""https://docs.google.com/spreadsheets/d/1eHaY18a8A9IcSdp1K8H6x8fbOy06t2VsZHhMHf-1x7Y/edit?usp=sharing"",""แผน!HL78"")"),0)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IFERROR(__xludf.DUMMYFUNCTION("IMPORTRANGE(""https://docs.google.com/spreadsheets/d/1eHaY18a8A9IcSdp1K8H6x8fbOy06t2VsZHhMHf-1x7Y/edit?usp=sharing"",""แผน!HM78"")"),0)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IFERROR(__xludf.DUMMYFUNCTION("IMPORTRANGE(""https://docs.google.com/spreadsheets/d/1eHaY18a8A9IcSdp1K8H6x8fbOy06t2VsZHhMHf-1x7Y/edit?usp=sharing"",""แผน!HN78"")"),0)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IFERROR(__xludf.DUMMYFUNCTION("IMPORTRANGE(""https://docs.google.com/spreadsheets/d/1eHaY18a8A9IcSdp1K8H6x8fbOy06t2VsZHhMHf-1x7Y/edit?usp=sharing"",""แผน!HO78"")"),0)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0</v>
      </c>
      <c r="R494" s="132">
        <f t="shared" ca="1" si="304"/>
        <v>0</v>
      </c>
      <c r="S494" s="132">
        <f t="shared" ca="1" si="304"/>
        <v>0</v>
      </c>
      <c r="T494" s="132">
        <f t="shared" ref="T494:T502" ca="1" si="305">IF(Q494&gt;0,S494*100/Q494,0)</f>
        <v>0</v>
      </c>
      <c r="U494" s="132">
        <f t="shared" ref="U494:U502" ca="1" si="306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0</v>
      </c>
      <c r="R496" s="46">
        <f t="shared" ca="1" si="308"/>
        <v>0</v>
      </c>
      <c r="S496" s="46">
        <f t="shared" ca="1" si="308"/>
        <v>0</v>
      </c>
      <c r="T496" s="46">
        <f t="shared" ca="1" si="305"/>
        <v>0</v>
      </c>
      <c r="U496" s="46">
        <f t="shared" ca="1" si="306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0</v>
      </c>
      <c r="R497" s="46">
        <f t="shared" ca="1" si="310"/>
        <v>0</v>
      </c>
      <c r="S497" s="46">
        <f t="shared" ca="1" si="310"/>
        <v>0</v>
      </c>
      <c r="T497" s="46">
        <f t="shared" ca="1" si="305"/>
        <v>0</v>
      </c>
      <c r="U497" s="46">
        <f t="shared" ca="1" si="306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IFERROR(__xludf.DUMMYFUNCTION("IMPORTRANGE(""https://docs.google.com/spreadsheets/d/1ItG2mGa2ceCfYo0BwxsXqNm01IGEUdYcSSLTEv9YCik/edit?usp=sharing"",""เบิกจ่ายกองทุน!X78"")"),0)</f>
        <v>0</v>
      </c>
      <c r="R499" s="46">
        <f ca="1">IFERROR(__xludf.DUMMYFUNCTION("IMPORTRANGE(""https://docs.google.com/spreadsheets/d/1ItG2mGa2ceCfYo0BwxsXqNm01IGEUdYcSSLTEv9YCik/edit?usp=sharing"",""เบิกจ่ายกองทุน!Y78"")"),0)</f>
        <v>0</v>
      </c>
      <c r="S499" s="46">
        <f ca="1">IFERROR(__xludf.DUMMYFUNCTION("IMPORTRANGE(""https://docs.google.com/spreadsheets/d/1ItG2mGa2ceCfYo0BwxsXqNm01IGEUdYcSSLTEv9YCik/edit?usp=sharing"",""เบิกจ่ายกองทุน!Z78"")"),0)</f>
        <v>0</v>
      </c>
      <c r="T499" s="46">
        <f t="shared" ca="1" si="305"/>
        <v>0</v>
      </c>
      <c r="U499" s="46">
        <f t="shared" ca="1" si="306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IFERROR(__xludf.DUMMYFUNCTION("IMPORTRANGE(""https://docs.google.com/spreadsheets/d/1eHaY18a8A9IcSdp1K8H6x8fbOy06t2VsZHhMHf-1x7Y/edit?usp=sharing"",""แผน!GX78"")"),0)</f>
        <v>0</v>
      </c>
      <c r="J504" s="147">
        <f ca="1">IF(AND(J505=I505,J506=I506,J507=I507,J508=I508),I504,0)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IFERROR(__xludf.DUMMYFUNCTION("IMPORTRANGE(""https://docs.google.com/spreadsheets/d/1eHaY18a8A9IcSdp1K8H6x8fbOy06t2VsZHhMHf-1x7Y/edit?usp=sharing"",""แผน!GY78"")"),0)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IFERROR(__xludf.DUMMYFUNCTION("IMPORTRANGE(""https://docs.google.com/spreadsheets/d/1eHaY18a8A9IcSdp1K8H6x8fbOy06t2VsZHhMHf-1x7Y/edit?usp=sharing"",""แผน!GZ78"")"),0)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IFERROR(__xludf.DUMMYFUNCTION("IMPORTRANGE(""https://docs.google.com/spreadsheets/d/1eHaY18a8A9IcSdp1K8H6x8fbOy06t2VsZHhMHf-1x7Y/edit?usp=sharing"",""แผน!HA78"")"),0)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IFERROR(__xludf.DUMMYFUNCTION("IMPORTRANGE(""https://docs.google.com/spreadsheets/d/1eHaY18a8A9IcSdp1K8H6x8fbOy06t2VsZHhMHf-1x7Y/edit?usp=sharing"",""แผน!HB78"")"),0)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IFERROR(__xludf.DUMMYFUNCTION("IMPORTRANGE(""https://docs.google.com/spreadsheets/d/1eHaY18a8A9IcSdp1K8H6x8fbOy06t2VsZHhMHf-1x7Y/edit?usp=sharing"",""แผน!HC78"")"),0)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4">I525</f>
        <v>0</v>
      </c>
      <c r="J513" s="766">
        <f t="shared" si="314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5">L515+L516</f>
        <v>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1"/>
        <v>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IFERROR(__xludf.DUMMYFUNCTION("IMPORTRANGE(""https://docs.google.com/spreadsheets/d/1-uDff_7J0KD5mKrp0Vvzr7lt3OU09vwQwhkpOPPYv2Y/edit?usp=sharing"",""งบพรบ!FM78"")"),0)</f>
        <v>0</v>
      </c>
      <c r="M519" s="46">
        <f ca="1">IFERROR(__xludf.DUMMYFUNCTION("IMPORTRANGE(""https://docs.google.com/spreadsheets/d/1-uDff_7J0KD5mKrp0Vvzr7lt3OU09vwQwhkpOPPYv2Y/edit?usp=sharing"",""งบพรบ!FR78"")"),0)</f>
        <v>0</v>
      </c>
      <c r="N519" s="46">
        <f ca="1">IFERROR(__xludf.DUMMYFUNCTION("IMPORTRANGE(""https://docs.google.com/spreadsheets/d/1-uDff_7J0KD5mKrp0Vvzr7lt3OU09vwQwhkpOPPYv2Y/edit?usp=sharing"",""งบพรบ!FT78"")"),0)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5">L521+L522</f>
        <v>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IFERROR(__xludf.DUMMYFUNCTION("IMPORTRANGE(""https://docs.google.com/spreadsheets/d/1-uDff_7J0KD5mKrp0Vvzr7lt3OU09vwQwhkpOPPYv2Y/edit?usp=sharing"",""งบพรบ!FP78"")"),0)</f>
        <v>0</v>
      </c>
      <c r="M522" s="46">
        <f ca="1">IFERROR(__xludf.DUMMYFUNCTION("IMPORTRANGE(""https://docs.google.com/spreadsheets/d/1-uDff_7J0KD5mKrp0Vvzr7lt3OU09vwQwhkpOPPYv2Y/edit?usp=sharing"",""งบพรบ!FS78"")"),0)</f>
        <v>0</v>
      </c>
      <c r="N522" s="46">
        <f ca="1">IFERROR(__xludf.DUMMYFUNCTION("IMPORTRANGE(""https://docs.google.com/spreadsheets/d/1-uDff_7J0KD5mKrp0Vvzr7lt3OU09vwQwhkpOPPYv2Y/edit?usp=sharing"",""งบพรบ!FU78"")"),0)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100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12675</v>
      </c>
      <c r="R617" s="132">
        <f t="shared" ca="1" si="383"/>
        <v>12675</v>
      </c>
      <c r="S617" s="132">
        <f t="shared" ca="1" si="383"/>
        <v>300</v>
      </c>
      <c r="T617" s="132">
        <f t="shared" ref="T617:T625" ca="1" si="384">IF(Q617&gt;0,S617*100/Q617,0)</f>
        <v>2.3668639053254439</v>
      </c>
      <c r="U617" s="132">
        <f t="shared" ref="U617:U625" ca="1" si="385">IF(R617&gt;0,S617*100/R617,0)</f>
        <v>2.3668639053254439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12675</v>
      </c>
      <c r="R619" s="46">
        <f t="shared" ca="1" si="387"/>
        <v>12675</v>
      </c>
      <c r="S619" s="46">
        <f t="shared" ca="1" si="387"/>
        <v>300</v>
      </c>
      <c r="T619" s="46">
        <f t="shared" ca="1" si="384"/>
        <v>2.3668639053254439</v>
      </c>
      <c r="U619" s="46">
        <f t="shared" ca="1" si="385"/>
        <v>2.3668639053254439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12675</v>
      </c>
      <c r="R620" s="46">
        <f t="shared" ca="1" si="389"/>
        <v>12675</v>
      </c>
      <c r="S620" s="46">
        <f t="shared" ca="1" si="389"/>
        <v>300</v>
      </c>
      <c r="T620" s="46">
        <f t="shared" ca="1" si="384"/>
        <v>2.3668639053254439</v>
      </c>
      <c r="U620" s="46">
        <f t="shared" ca="1" si="385"/>
        <v>2.3668639053254439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2" s="46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2" s="46">
        <f ca="1">IFERROR(__xludf.DUMMYFUNCTION("IMPORTRANGE(""https://docs.google.com/spreadsheets/d/1ItG2mGa2ceCfYo0BwxsXqNm01IGEUdYcSSLTEv9YCik/edit?usp=sharing"",""เบิกจ่ายกองทุน!H78"")"),300)</f>
        <v>300</v>
      </c>
      <c r="T622" s="46">
        <f t="shared" ca="1" si="384"/>
        <v>2.3668639053254439</v>
      </c>
      <c r="U622" s="46">
        <f t="shared" ca="1" si="385"/>
        <v>2.3668639053254439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IFERROR(__xludf.DUMMYFUNCTION("IMPORTRANGE(""https://docs.google.com/spreadsheets/d/1eHaY18a8A9IcSdp1K8H6x8fbOy06t2VsZHhMHf-1x7Y/edit?usp=sharing"",""แผน!ID78"")"),100)</f>
        <v>100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8">
        <v>0</v>
      </c>
      <c r="K628" s="46">
        <f t="shared" ref="K628:K629" ca="1" si="392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IFERROR(__xludf.DUMMYFUNCTION("IMPORTRANGE(""https://docs.google.com/spreadsheets/d/1eHaY18a8A9IcSdp1K8H6x8fbOy06t2VsZHhMHf-1x7Y/edit?usp=sharing"",""แผน!IC78"")"),1)</f>
        <v>1</v>
      </c>
      <c r="J629" s="168">
        <v>0</v>
      </c>
      <c r="K629" s="46">
        <f t="shared" ca="1" si="392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IFERROR(__xludf.DUMMYFUNCTION("IMPORTRANGE(""https://docs.google.com/spreadsheets/d/1eHaY18a8A9IcSdp1K8H6x8fbOy06t2VsZHhMHf-1x7Y/edit?usp=sharing"",""แผน!IE78"")"),0)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0</v>
      </c>
      <c r="R643" s="132">
        <f t="shared" ca="1" si="397"/>
        <v>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0</v>
      </c>
      <c r="R645" s="46">
        <f t="shared" ca="1" si="401"/>
        <v>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0</v>
      </c>
      <c r="R646" s="46">
        <f t="shared" ca="1" si="403"/>
        <v>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IFERROR(__xludf.DUMMYFUNCTION("IMPORTRANGE(""https://docs.google.com/spreadsheets/d/1ItG2mGa2ceCfYo0BwxsXqNm01IGEUdYcSSLTEv9YCik/edit?usp=sharing"",""เบิกจ่ายกองทุน!I78"")"),0)</f>
        <v>0</v>
      </c>
      <c r="R648" s="46">
        <f ca="1">IFERROR(__xludf.DUMMYFUNCTION("IMPORTRANGE(""https://docs.google.com/spreadsheets/d/1ItG2mGa2ceCfYo0BwxsXqNm01IGEUdYcSSLTEv9YCik/edit?usp=sharing"",""เบิกจ่ายกองทุน!J78"")"),0)</f>
        <v>0</v>
      </c>
      <c r="S648" s="46">
        <f ca="1">IFERROR(__xludf.DUMMYFUNCTION("IMPORTRANGE(""https://docs.google.com/spreadsheets/d/1ItG2mGa2ceCfYo0BwxsXqNm01IGEUdYcSSLTEv9YCik/edit?usp=sharing"",""เบิกจ่ายกองทุน!K78"")"),0)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IFERROR(__xludf.DUMMYFUNCTION("IMPORTRANGE(""https://docs.google.com/spreadsheets/d/1eHaY18a8A9IcSdp1K8H6x8fbOy06t2VsZHhMHf-1x7Y/edit?usp=sharing"",""แผน!IF78"")"),0)</f>
        <v>0</v>
      </c>
      <c r="J653" s="152">
        <f ca="1">IFERROR(__xludf.DUMMYFUNCTION("IMPORTRANGE(""https://docs.google.com/spreadsheets/d/1tdoBKaGub7dwA3U6UFTqxio9LNnvDCQjHKmttSEBsFQ/edit?usp=sharing"",""จัดที่ดิน!AU78"")"),0)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IFERROR(__xludf.DUMMYFUNCTION("IMPORTRANGE(""https://docs.google.com/spreadsheets/d/1eHaY18a8A9IcSdp1K8H6x8fbOy06t2VsZHhMHf-1x7Y/edit?usp=sharing"",""แผน!IG78"")"),0)</f>
        <v>0</v>
      </c>
      <c r="J654" s="152">
        <f ca="1">IFERROR(__xludf.DUMMYFUNCTION("IMPORTRANGE(""https://docs.google.com/spreadsheets/d/1tdoBKaGub7dwA3U6UFTqxio9LNnvDCQjHKmttSEBsFQ/edit?usp=sharing"",""จัดที่ดิน!AW78"")"),0)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IFERROR(__xludf.DUMMYFUNCTION("IMPORTRANGE(""https://docs.google.com/spreadsheets/d/1eHaY18a8A9IcSdp1K8H6x8fbOy06t2VsZHhMHf-1x7Y/edit?usp=sharing"",""แผน!IH78"")"),0)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IFERROR(__xludf.DUMMYFUNCTION("IMPORTRANGE(""https://docs.google.com/spreadsheets/d/1eHaY18a8A9IcSdp1K8H6x8fbOy06t2VsZHhMHf-1x7Y/edit?usp=sharing"",""แผน!II78"")"),0)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IFERROR(__xludf.DUMMYFUNCTION("IMPORTRANGE(""https://docs.google.com/spreadsheets/d/1eHaY18a8A9IcSdp1K8H6x8fbOy06t2VsZHhMHf-1x7Y/edit?usp=sharing"",""แผน!IJ78"")"),0)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IFERROR(__xludf.DUMMYFUNCTION("IMPORTRANGE(""https://docs.google.com/spreadsheets/d/1eHaY18a8A9IcSdp1K8H6x8fbOy06t2VsZHhMHf-1x7Y/edit?usp=sharing"",""แผน!IK78"")"),0)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IFERROR(__xludf.DUMMYFUNCTION("IMPORTRANGE(""https://docs.google.com/spreadsheets/d/1tdoBKaGub7dwA3U6UFTqxio9LNnvDCQjHKmttSEBsFQ/edit?usp=sharing"",""จัดที่ดิน!AY78"")"),0)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IFERROR(__xludf.DUMMYFUNCTION("IMPORTRANGE(""https://docs.google.com/spreadsheets/d/1tdoBKaGub7dwA3U6UFTqxio9LNnvDCQjHKmttSEBsFQ/edit?usp=sharing"",""จัดที่ดิน!AZ78"")"),0)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IFERROR(__xludf.DUMMYFUNCTION("IMPORTRANGE(""https://docs.google.com/spreadsheets/d/1eHaY18a8A9IcSdp1K8H6x8fbOy06t2VsZHhMHf-1x7Y/edit?usp=sharing"",""แผน!IL78"")"),0)</f>
        <v>0</v>
      </c>
      <c r="J674" s="152">
        <f ca="1">IFERROR(__xludf.DUMMYFUNCTION("IMPORTRANGE(""https://docs.google.com/spreadsheets/d/1tdoBKaGub7dwA3U6UFTqxio9LNnvDCQjHKmttSEBsFQ/edit?usp=sharing"",""จัดที่ดิน!BA78"")"),0)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IFERROR(__xludf.DUMMYFUNCTION("IMPORTRANGE(""https://docs.google.com/spreadsheets/d/1eHaY18a8A9IcSdp1K8H6x8fbOy06t2VsZHhMHf-1x7Y/edit?usp=sharing"",""แผน!IM78"")"),0)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IFERROR(__xludf.DUMMYFUNCTION("IMPORTRANGE(""https://docs.google.com/spreadsheets/d/1eHaY18a8A9IcSdp1K8H6x8fbOy06t2VsZHhMHf-1x7Y/edit?usp=sharing"",""แผน!IN78"")"),0)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IFERROR(__xludf.DUMMYFUNCTION("IMPORTRANGE(""https://docs.google.com/spreadsheets/d/1eHaY18a8A9IcSdp1K8H6x8fbOy06t2VsZHhMHf-1x7Y/edit?usp=sharing"",""แผน!IO78"")"),0)</f>
        <v>0</v>
      </c>
      <c r="J677" s="152">
        <f ca="1">IFERROR(__xludf.DUMMYFUNCTION("IMPORTRANGE(""https://docs.google.com/spreadsheets/d/1tdoBKaGub7dwA3U6UFTqxio9LNnvDCQjHKmttSEBsFQ/edit?usp=sharing"",""จัดที่ดิน!BF78"")"),0)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IFERROR(__xludf.DUMMYFUNCTION("IMPORTRANGE(""https://docs.google.com/spreadsheets/d/1tdoBKaGub7dwA3U6UFTqxio9LNnvDCQjHKmttSEBsFQ/edit?usp=sharing"",""จัดที่ดิน!BG78"")"),0)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IFERROR(__xludf.DUMMYFUNCTION("IMPORTRANGE(""https://docs.google.com/spreadsheets/d/1eHaY18a8A9IcSdp1K8H6x8fbOy06t2VsZHhMHf-1x7Y/edit?usp=sharing"",""แผน!IP78"")"),0)</f>
        <v>0</v>
      </c>
      <c r="J679" s="152">
        <f ca="1">IFERROR(__xludf.DUMMYFUNCTION("IMPORTRANGE(""https://docs.google.com/spreadsheets/d/1tdoBKaGub7dwA3U6UFTqxio9LNnvDCQjHKmttSEBsFQ/edit?usp=sharing"",""จัดที่ดิน!BH78"")"),0)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IFERROR(__xludf.DUMMYFUNCTION("IMPORTRANGE(""https://docs.google.com/spreadsheets/d/1eHaY18a8A9IcSdp1K8H6x8fbOy06t2VsZHhMHf-1x7Y/edit?usp=sharing"",""แผน!IQ78"")"),0)</f>
        <v>0</v>
      </c>
      <c r="J680" s="152">
        <f ca="1">IFERROR(__xludf.DUMMYFUNCTION("IMPORTRANGE(""https://docs.google.com/spreadsheets/d/1tdoBKaGub7dwA3U6UFTqxio9LNnvDCQjHKmttSEBsFQ/edit?usp=sharing"",""จัดที่ดิน!BK78"")"),0)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IFERROR(__xludf.DUMMYFUNCTION("IMPORTRANGE(""https://docs.google.com/spreadsheets/d/1tdoBKaGub7dwA3U6UFTqxio9LNnvDCQjHKmttSEBsFQ/edit?usp=sharing"",""จัดที่ดิน!BL78"")"),0)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IFERROR(__xludf.DUMMYFUNCTION("IMPORTRANGE(""https://docs.google.com/spreadsheets/d/1eHaY18a8A9IcSdp1K8H6x8fbOy06t2VsZHhMHf-1x7Y/edit?usp=sharing"",""แผน!IR78"")"),0)</f>
        <v>0</v>
      </c>
      <c r="J682" s="152">
        <f ca="1">IFERROR(__xludf.DUMMYFUNCTION("IMPORTRANGE(""https://docs.google.com/spreadsheets/d/1tdoBKaGub7dwA3U6UFTqxio9LNnvDCQjHKmttSEBsFQ/edit?usp=sharing"",""จัดที่ดิน!BM78"")"),0)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IFERROR(__xludf.DUMMYFUNCTION("IMPORTRANGE(""https://docs.google.com/spreadsheets/d/1eHaY18a8A9IcSdp1K8H6x8fbOy06t2VsZHhMHf-1x7Y/edit?usp=sharing"",""แผน!IS78"")"),0)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447" t="s">
        <v>35</v>
      </c>
      <c r="I690" s="448">
        <f t="shared" ref="I690:J690" ca="1" si="410">I708</f>
        <v>45</v>
      </c>
      <c r="J690" s="448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178410</v>
      </c>
      <c r="R691" s="132">
        <f t="shared" ca="1" si="414"/>
        <v>178410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178410</v>
      </c>
      <c r="R693" s="46">
        <f t="shared" ca="1" si="418"/>
        <v>178410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178410</v>
      </c>
      <c r="R694" s="46">
        <f t="shared" ca="1" si="420"/>
        <v>178410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6" s="46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6" s="46">
        <f ca="1">IFERROR(__xludf.DUMMYFUNCTION("IMPORTRANGE(""https://docs.google.com/spreadsheets/d/1ItG2mGa2ceCfYo0BwxsXqNm01IGEUdYcSSLTEv9YCik/edit?usp=sharing"",""เบิกจ่ายกองทุน!N78"")"),0)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IFERROR(__xludf.DUMMYFUNCTION("IMPORTRANGE(""https://docs.google.com/spreadsheets/d/1eHaY18a8A9IcSdp1K8H6x8fbOy06t2VsZHhMHf-1x7Y/edit?usp=sharing"",""แผน!LC78"")"),0)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49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IFERROR(__xludf.DUMMYFUNCTION("IMPORTRANGE(""https://docs.google.com/spreadsheets/d/1eHaY18a8A9IcSdp1K8H6x8fbOy06t2VsZHhMHf-1x7Y/edit?usp=sharing"",""แผน!LJ78"")"),45)</f>
        <v>45</v>
      </c>
      <c r="J704" s="152">
        <f ca="1">IFERROR(__xludf.DUMMYFUNCTION("IMPORTRANGE(""https://docs.google.com/spreadsheets/d/1tdoBKaGub7dwA3U6UFTqxio9LNnvDCQjHKmttSEBsFQ/edit?usp=sharing"",""จัดที่ดิน!AP78"")"),0)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IFERROR(__xludf.DUMMYFUNCTION("IMPORTRANGE(""https://docs.google.com/spreadsheets/d/1tdoBKaGub7dwA3U6UFTqxio9LNnvDCQjHKmttSEBsFQ/edit?usp=sharing"",""จัดที่ดิน!AQ78"")"),0)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IFERROR(__xludf.DUMMYFUNCTION("IMPORTRANGE(""https://docs.google.com/spreadsheets/d/1eHaY18a8A9IcSdp1K8H6x8fbOy06t2VsZHhMHf-1x7Y/edit?usp=sharing"",""แผน!LK78"")"),4)</f>
        <v>4</v>
      </c>
      <c r="J706" s="152">
        <f ca="1">IFERROR(__xludf.DUMMYFUNCTION("IMPORTRANGE(""https://docs.google.com/spreadsheets/d/1tdoBKaGub7dwA3U6UFTqxio9LNnvDCQjHKmttSEBsFQ/edit?usp=sharing"",""จัดที่ดิน!AR78"")"),0)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IFERROR(__xludf.DUMMYFUNCTION("IMPORTRANGE(""https://docs.google.com/spreadsheets/d/1tdoBKaGub7dwA3U6UFTqxio9LNnvDCQjHKmttSEBsFQ/edit?usp=sharing"",""จัดที่ดิน!AS78"")"),0)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IFERROR(__xludf.DUMMYFUNCTION("IMPORTRANGE(""https://docs.google.com/spreadsheets/d/1eHaY18a8A9IcSdp1K8H6x8fbOy06t2VsZHhMHf-1x7Y/edit?usp=sharing"",""แผน!LJ78"")"),45)</f>
        <v>45</v>
      </c>
      <c r="J708" s="152">
        <f ca="1">IFERROR(__xludf.DUMMYFUNCTION("IMPORTRANGE(""https://docs.google.com/spreadsheets/d/1tdoBKaGub7dwA3U6UFTqxio9LNnvDCQjHKmttSEBsFQ/edit?usp=sharing"",""จัดที่ดิน!BN78"")"),0)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IFERROR(__xludf.DUMMYFUNCTION("IMPORTRANGE(""https://docs.google.com/spreadsheets/d/1tdoBKaGub7dwA3U6UFTqxio9LNnvDCQjHKmttSEBsFQ/edit?usp=sharing"",""จัดที่ดิน!BO78"")"),0)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IFERROR(__xludf.DUMMYFUNCTION("IMPORTRANGE(""https://docs.google.com/spreadsheets/d/1eHaY18a8A9IcSdp1K8H6x8fbOy06t2VsZHhMHf-1x7Y/edit?usp=sharing"",""แผน!LK78"")"),4)</f>
        <v>4</v>
      </c>
      <c r="J710" s="152">
        <f ca="1">IFERROR(__xludf.DUMMYFUNCTION("IMPORTRANGE(""https://docs.google.com/spreadsheets/d/1tdoBKaGub7dwA3U6UFTqxio9LNnvDCQjHKmttSEBsFQ/edit?usp=sharing"",""จัดที่ดิน!BP78"")"),0)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IFERROR(__xludf.DUMMYFUNCTION("IMPORTRANGE(""https://docs.google.com/spreadsheets/d/1tdoBKaGub7dwA3U6UFTqxio9LNnvDCQjHKmttSEBsFQ/edit?usp=sharing"",""จัดที่ดิน!BQ78"")"),0)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IFERROR(__xludf.DUMMYFUNCTION("IMPORTRANGE(""https://docs.google.com/spreadsheets/d/1eHaY18a8A9IcSdp1K8H6x8fbOy06t2VsZHhMHf-1x7Y/edit?usp=sharing"",""แผน!GA78"")"),21)</f>
        <v>21</v>
      </c>
      <c r="J727" s="448">
        <f>J743+J747+J750</f>
        <v>0</v>
      </c>
      <c r="K727" s="449">
        <f t="shared" ref="K727:K728" ca="1" si="437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IFERROR(__xludf.DUMMYFUNCTION("IMPORTRANGE(""https://docs.google.com/spreadsheets/d/1eHaY18a8A9IcSdp1K8H6x8fbOy06t2VsZHhMHf-1x7Y/edit?usp=sharing"",""แผน!FZ78"")"),200)</f>
        <v>200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175994</v>
      </c>
      <c r="R729" s="132">
        <f t="shared" ca="1" si="441"/>
        <v>175994</v>
      </c>
      <c r="S729" s="132">
        <f t="shared" ca="1" si="441"/>
        <v>2430</v>
      </c>
      <c r="T729" s="132">
        <f t="shared" ref="T729:T737" ca="1" si="442">IF(Q729&gt;0,S729*100/Q729,0)</f>
        <v>1.3807288884848348</v>
      </c>
      <c r="U729" s="132">
        <f t="shared" ref="U729:U737" ca="1" si="443">IF(R729&gt;0,S729*100/R729,0)</f>
        <v>1.3807288884848348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175994</v>
      </c>
      <c r="R731" s="46">
        <f t="shared" ca="1" si="445"/>
        <v>175994</v>
      </c>
      <c r="S731" s="46">
        <f t="shared" ca="1" si="445"/>
        <v>2430</v>
      </c>
      <c r="T731" s="46">
        <f t="shared" ca="1" si="442"/>
        <v>1.3807288884848348</v>
      </c>
      <c r="U731" s="46">
        <f t="shared" ca="1" si="443"/>
        <v>1.3807288884848348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175994</v>
      </c>
      <c r="R732" s="46">
        <f t="shared" ca="1" si="447"/>
        <v>175994</v>
      </c>
      <c r="S732" s="46">
        <f t="shared" ca="1" si="447"/>
        <v>2430</v>
      </c>
      <c r="T732" s="46">
        <f t="shared" ca="1" si="442"/>
        <v>1.3807288884848348</v>
      </c>
      <c r="U732" s="46">
        <f t="shared" ca="1" si="443"/>
        <v>1.3807288884848348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4" s="46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4" s="46">
        <f ca="1">IFERROR(__xludf.DUMMYFUNCTION("IMPORTRANGE(""https://docs.google.com/spreadsheets/d/1ItG2mGa2ceCfYo0BwxsXqNm01IGEUdYcSSLTEv9YCik/edit?usp=sharing"",""เบิกจ่ายกองทุน!Q78"")"),2430)</f>
        <v>2430</v>
      </c>
      <c r="T734" s="46">
        <f t="shared" ca="1" si="442"/>
        <v>1.3807288884848348</v>
      </c>
      <c r="U734" s="46">
        <f t="shared" ca="1" si="443"/>
        <v>1.3807288884848348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IFERROR(__xludf.DUMMYFUNCTION("IMPORTRANGE(""https://docs.google.com/spreadsheets/d/1eHaY18a8A9IcSdp1K8H6x8fbOy06t2VsZHhMHf-1x7Y/edit?usp=sharing"",""แผน!GB78"")"),160)</f>
        <v>160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IFERROR(__xludf.DUMMYFUNCTION("IMPORTRANGE(""https://docs.google.com/spreadsheets/d/1eHaY18a8A9IcSdp1K8H6x8fbOy06t2VsZHhMHf-1x7Y/edit?usp=sharing"",""แผน!GC78"")"),16)</f>
        <v>16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IFERROR(__xludf.DUMMYFUNCTION("IMPORTRANGE(""https://docs.google.com/spreadsheets/d/1eHaY18a8A9IcSdp1K8H6x8fbOy06t2VsZHhMHf-1x7Y/edit?usp=sharing"",""แผน!GD78"")"),40)</f>
        <v>40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IFERROR(__xludf.DUMMYFUNCTION("IMPORTRANGE(""https://docs.google.com/spreadsheets/d/1eHaY18a8A9IcSdp1K8H6x8fbOy06t2VsZHhMHf-1x7Y/edit?usp=sharing"",""แผน!GE78"")"),4)</f>
        <v>4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IFERROR(__xludf.DUMMYFUNCTION("IMPORTRANGE(""https://docs.google.com/spreadsheets/d/1eHaY18a8A9IcSdp1K8H6x8fbOy06t2VsZHhMHf-1x7Y/edit?usp=sharing"",""แผน!GF78"")"),1)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IFERROR(__xludf.DUMMYFUNCTION("IMPORTRANGE(""https://docs.google.com/spreadsheets/d/1eHaY18a8A9IcSdp1K8H6x8fbOy06t2VsZHhMHf-1x7Y/edit?usp=sharing"",""แผน!GB78"")"),160)</f>
        <v>160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IFERROR(__xludf.DUMMYFUNCTION("IMPORTRANGE(""https://docs.google.com/spreadsheets/d/1eHaY18a8A9IcSdp1K8H6x8fbOy06t2VsZHhMHf-1x7Y/edit?usp=sharing"",""แผน!GD78"")"),40)</f>
        <v>40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hidden="1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0</v>
      </c>
      <c r="J759" s="448">
        <f t="shared" si="450"/>
        <v>0</v>
      </c>
      <c r="K759" s="449">
        <f t="shared" ref="K759:K760" ca="1" si="451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hidden="1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0</v>
      </c>
      <c r="J760" s="448">
        <f t="shared" si="452"/>
        <v>0</v>
      </c>
      <c r="K760" s="449">
        <f t="shared" ca="1" si="451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hidden="1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0</v>
      </c>
      <c r="R761" s="132">
        <f t="shared" ca="1" si="456"/>
        <v>0</v>
      </c>
      <c r="S761" s="132">
        <f t="shared" ca="1" si="456"/>
        <v>0</v>
      </c>
      <c r="T761" s="132">
        <f t="shared" ref="T761:T769" ca="1" si="457">IF(Q761&gt;0,S761*100/Q761,0)</f>
        <v>0</v>
      </c>
      <c r="U761" s="132">
        <f t="shared" ref="U761:U769" ca="1" si="458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0</v>
      </c>
      <c r="R763" s="46">
        <f t="shared" ca="1" si="460"/>
        <v>0</v>
      </c>
      <c r="S763" s="46">
        <f t="shared" ca="1" si="460"/>
        <v>0</v>
      </c>
      <c r="T763" s="46">
        <f t="shared" ca="1" si="457"/>
        <v>0</v>
      </c>
      <c r="U763" s="46">
        <f t="shared" ca="1" si="458"/>
        <v>0</v>
      </c>
    </row>
    <row r="764" spans="1:21" ht="18.75" hidden="1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0</v>
      </c>
      <c r="R764" s="46">
        <f t="shared" ca="1" si="462"/>
        <v>0</v>
      </c>
      <c r="S764" s="46">
        <f t="shared" ca="1" si="462"/>
        <v>0</v>
      </c>
      <c r="T764" s="46">
        <f t="shared" ca="1" si="457"/>
        <v>0</v>
      </c>
      <c r="U764" s="46">
        <f t="shared" ca="1" si="458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IFERROR(__xludf.DUMMYFUNCTION("IMPORTRANGE(""https://docs.google.com/spreadsheets/d/1ItG2mGa2ceCfYo0BwxsXqNm01IGEUdYcSSLTEv9YCik/edit?usp=sharing"",""เบิกจ่ายกองทุน!U78"")"),0)</f>
        <v>0</v>
      </c>
      <c r="R766" s="46">
        <f ca="1">IFERROR(__xludf.DUMMYFUNCTION("IMPORTRANGE(""https://docs.google.com/spreadsheets/d/1ItG2mGa2ceCfYo0BwxsXqNm01IGEUdYcSSLTEv9YCik/edit?usp=sharing"",""เบิกจ่ายกองทุน!V78"")"),0)</f>
        <v>0</v>
      </c>
      <c r="S766" s="46">
        <f ca="1">IFERROR(__xludf.DUMMYFUNCTION("IMPORTRANGE(""https://docs.google.com/spreadsheets/d/1ItG2mGa2ceCfYo0BwxsXqNm01IGEUdYcSSLTEv9YCik/edit?usp=sharing"",""เบิกจ่ายกองทุน!W78"")"),0)</f>
        <v>0</v>
      </c>
      <c r="T766" s="46">
        <f t="shared" ca="1" si="457"/>
        <v>0</v>
      </c>
      <c r="U766" s="46">
        <f t="shared" ca="1" si="458"/>
        <v>0</v>
      </c>
    </row>
    <row r="767" spans="1:21" ht="18.75" hidden="1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hidden="1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IFERROR(__xludf.DUMMYFUNCTION("IMPORTRANGE(""https://docs.google.com/spreadsheets/d/1eHaY18a8A9IcSdp1K8H6x8fbOy06t2VsZHhMHf-1x7Y/edit?usp=sharing"",""แผน!FI78"")"),0)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IFERROR(__xludf.DUMMYFUNCTION("IMPORTRANGE(""https://docs.google.com/spreadsheets/d/1eHaY18a8A9IcSdp1K8H6x8fbOy06t2VsZHhMHf-1x7Y/edit?usp=sharing"",""แผน!FQ78"")"),0)</f>
        <v>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IFERROR(__xludf.DUMMYFUNCTION("IMPORTRANGE(""https://docs.google.com/spreadsheets/d/1eHaY18a8A9IcSdp1K8H6x8fbOy06t2VsZHhMHf-1x7Y/edit?usp=sharing"",""แผน!FR78"")"),0)</f>
        <v>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IFERROR(__xludf.DUMMYFUNCTION("IMPORTRANGE(""https://docs.google.com/spreadsheets/d/1eHaY18a8A9IcSdp1K8H6x8fbOy06t2VsZHhMHf-1x7Y/edit?usp=sharing"",""แผน!FS78"")"),0)</f>
        <v>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hidden="1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IFERROR(__xludf.DUMMYFUNCTION("IMPORTRANGE(""https://docs.google.com/spreadsheets/d/1eHaY18a8A9IcSdp1K8H6x8fbOy06t2VsZHhMHf-1x7Y/edit?usp=sharing"",""แผน!FT78"")"),0)</f>
        <v>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IFERROR(__xludf.DUMMYFUNCTION("IMPORTRANGE(""https://docs.google.com/spreadsheets/d/10OvvATaaLtwErnr3qtWFcTmtbfpFEt5Bsqel9sXx0uE/edit?usp=sharing"",""งานกองทุน!D78"")"),2822736.1)</f>
        <v>2822736.1</v>
      </c>
      <c r="J779" s="152">
        <f ca="1">IFERROR(__xludf.DUMMYFUNCTION("IMPORTRANGE(""https://docs.google.com/spreadsheets/d/10OvvATaaLtwErnr3qtWFcTmtbfpFEt5Bsqel9sXx0uE/edit?usp=sharing"",""งานกองทุน!F78"")"),765953.35)</f>
        <v>765953.35</v>
      </c>
      <c r="K779" s="46">
        <f t="shared" ref="K779:K786" ca="1" si="465">IF(I779&gt;0,J779*100/I779,0)</f>
        <v>27.135138492046774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IFERROR(__xludf.DUMMYFUNCTION("IMPORTRANGE(""https://docs.google.com/spreadsheets/d/10OvvATaaLtwErnr3qtWFcTmtbfpFEt5Bsqel9sXx0uE/edit?usp=sharing"",""งานกองทุน!C78"")"),161)</f>
        <v>161</v>
      </c>
      <c r="J780" s="152">
        <f ca="1">IFERROR(__xludf.DUMMYFUNCTION("IMPORTRANGE(""https://docs.google.com/spreadsheets/d/10OvvATaaLtwErnr3qtWFcTmtbfpFEt5Bsqel9sXx0uE/edit?usp=sharing"",""งานกองทุน!E78"")"),45)</f>
        <v>45</v>
      </c>
      <c r="K780" s="46">
        <f t="shared" ca="1" si="465"/>
        <v>27.950310559006212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1" s="152">
        <f ca="1">IFERROR(__xludf.DUMMYFUNCTION("IMPORTRANGE(""https://docs.google.com/spreadsheets/d/10OvvATaaLtwErnr3qtWFcTmtbfpFEt5Bsqel9sXx0uE/edit?usp=sharing"",""งานกองทุน!K78"")"),165290.02)</f>
        <v>165290.01999999999</v>
      </c>
      <c r="K781" s="46">
        <f t="shared" ca="1" si="465"/>
        <v>7.1505797841579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IFERROR(__xludf.DUMMYFUNCTION("IMPORTRANGE(""https://docs.google.com/spreadsheets/d/10OvvATaaLtwErnr3qtWFcTmtbfpFEt5Bsqel9sXx0uE/edit?usp=sharing"",""งานกองทุน!H78"")"),99)</f>
        <v>99</v>
      </c>
      <c r="J782" s="152">
        <f ca="1">IFERROR(__xludf.DUMMYFUNCTION("IMPORTRANGE(""https://docs.google.com/spreadsheets/d/10OvvATaaLtwErnr3qtWFcTmtbfpFEt5Bsqel9sXx0uE/edit?usp=sharing"",""งานกองทุน!J78"")"),36)</f>
        <v>36</v>
      </c>
      <c r="K782" s="46">
        <f t="shared" ca="1" si="465"/>
        <v>36.363636363636367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IFERROR(__xludf.DUMMYFUNCTION("IMPORTRANGE(""https://docs.google.com/spreadsheets/d/10OvvATaaLtwErnr3qtWFcTmtbfpFEt5Bsqel9sXx0uE/edit?usp=sharing"",""งานกองทุน!N78"")"),0)</f>
        <v>0</v>
      </c>
      <c r="J783" s="152">
        <f ca="1">IFERROR(__xludf.DUMMYFUNCTION("IMPORTRANGE(""https://docs.google.com/spreadsheets/d/10OvvATaaLtwErnr3qtWFcTmtbfpFEt5Bsqel9sXx0uE/edit?usp=sharing"",""งานกองทุน!P78"")"),0)</f>
        <v>0</v>
      </c>
      <c r="K783" s="46">
        <f t="shared" ca="1" si="465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IFERROR(__xludf.DUMMYFUNCTION("IMPORTRANGE(""https://docs.google.com/spreadsheets/d/10OvvATaaLtwErnr3qtWFcTmtbfpFEt5Bsqel9sXx0uE/edit?usp=sharing"",""งานกองทุน!M78"")"),0)</f>
        <v>0</v>
      </c>
      <c r="J784" s="152">
        <f ca="1">IFERROR(__xludf.DUMMYFUNCTION("IMPORTRANGE(""https://docs.google.com/spreadsheets/d/10OvvATaaLtwErnr3qtWFcTmtbfpFEt5Bsqel9sXx0uE/edit?usp=sharing"",""งานกองทุน!O78"")"),0)</f>
        <v>0</v>
      </c>
      <c r="K784" s="46">
        <f t="shared" ca="1" si="465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IFERROR(__xludf.DUMMYFUNCTION("IMPORTRANGE(""https://docs.google.com/spreadsheets/d/10OvvATaaLtwErnr3qtWFcTmtbfpFEt5Bsqel9sXx0uE/edit?usp=sharing"",""งานกองทุน!S78"")"),3500000)</f>
        <v>3500000</v>
      </c>
      <c r="J785" s="152">
        <f ca="1">IFERROR(__xludf.DUMMYFUNCTION("IMPORTRANGE(""https://docs.google.com/spreadsheets/d/10OvvATaaLtwErnr3qtWFcTmtbfpFEt5Bsqel9sXx0uE/edit?usp=sharing"",""งานกองทุน!U78"")"),1000000)</f>
        <v>1000000</v>
      </c>
      <c r="K785" s="46">
        <f t="shared" ca="1" si="465"/>
        <v>28.571428571428573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IFERROR(__xludf.DUMMYFUNCTION("IMPORTRANGE(""https://docs.google.com/spreadsheets/d/10OvvATaaLtwErnr3qtWFcTmtbfpFEt5Bsqel9sXx0uE/edit?usp=sharing"",""งานกองทุน!R78"")"),125)</f>
        <v>125</v>
      </c>
      <c r="J786" s="204">
        <f ca="1">IFERROR(__xludf.DUMMYFUNCTION("IMPORTRANGE(""https://docs.google.com/spreadsheets/d/10OvvATaaLtwErnr3qtWFcTmtbfpFEt5Bsqel9sXx0uE/edit?usp=sharing"",""งานกองทุน!T78"")"),27)</f>
        <v>27</v>
      </c>
      <c r="K786" s="110">
        <f t="shared" ca="1" si="465"/>
        <v>21.6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2212D-5433-4B1A-A965-1157D7103337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6" width="12.5703125" bestFit="1" customWidth="1"/>
    <col min="17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316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1135795</v>
      </c>
      <c r="M19" s="34">
        <f t="shared" ca="1" si="0"/>
        <v>1218794</v>
      </c>
      <c r="N19" s="34">
        <f t="shared" ca="1" si="0"/>
        <v>951351.78</v>
      </c>
      <c r="O19" s="34">
        <f t="shared" ref="O19:O27" ca="1" si="1">IF(L19&gt;0,N19*100/L19,0)</f>
        <v>83.760870579638052</v>
      </c>
      <c r="P19" s="34">
        <f t="shared" ref="P19:P27" ca="1" si="2">IF(M19&gt;0,N19*100/M19,0)</f>
        <v>78.056815179595574</v>
      </c>
      <c r="Q19" s="34">
        <f t="shared" ref="Q19:S19" ca="1" si="3">Q20+Q21</f>
        <v>627147</v>
      </c>
      <c r="R19" s="34">
        <f t="shared" ca="1" si="3"/>
        <v>564647</v>
      </c>
      <c r="S19" s="34">
        <f t="shared" ca="1" si="3"/>
        <v>173572</v>
      </c>
      <c r="T19" s="34">
        <f t="shared" ref="T19:T27" ca="1" si="4">IF(Q19&gt;0,S19*100/Q19,0)</f>
        <v>27.676445873136601</v>
      </c>
      <c r="U19" s="34">
        <f t="shared" ref="U19:U27" ca="1" si="5">IF(R19&gt;0,S19*100/R19,0)</f>
        <v>30.739913609742015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1135795</v>
      </c>
      <c r="M21" s="38">
        <f t="shared" ca="1" si="6"/>
        <v>1218794</v>
      </c>
      <c r="N21" s="38">
        <f t="shared" ca="1" si="6"/>
        <v>951351.78</v>
      </c>
      <c r="O21" s="38">
        <f t="shared" ca="1" si="1"/>
        <v>83.760870579638052</v>
      </c>
      <c r="P21" s="38">
        <f t="shared" ca="1" si="2"/>
        <v>78.056815179595574</v>
      </c>
      <c r="Q21" s="38">
        <f t="shared" ca="1" si="7"/>
        <v>627147</v>
      </c>
      <c r="R21" s="38">
        <f t="shared" ca="1" si="7"/>
        <v>564647</v>
      </c>
      <c r="S21" s="38">
        <f t="shared" ca="1" si="7"/>
        <v>173572</v>
      </c>
      <c r="T21" s="38">
        <f t="shared" ca="1" si="4"/>
        <v>27.676445873136601</v>
      </c>
      <c r="U21" s="38">
        <f t="shared" ca="1" si="5"/>
        <v>30.739913609742015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1135795</v>
      </c>
      <c r="M22" s="46">
        <f t="shared" ca="1" si="8"/>
        <v>1218794</v>
      </c>
      <c r="N22" s="46">
        <f t="shared" ca="1" si="8"/>
        <v>951351.78</v>
      </c>
      <c r="O22" s="46">
        <f t="shared" ca="1" si="1"/>
        <v>83.760870579638052</v>
      </c>
      <c r="P22" s="46">
        <f t="shared" ca="1" si="2"/>
        <v>78.056815179595574</v>
      </c>
      <c r="Q22" s="46">
        <f t="shared" ref="Q22:S22" ca="1" si="9">Q23+Q24</f>
        <v>627147</v>
      </c>
      <c r="R22" s="46">
        <f t="shared" ca="1" si="9"/>
        <v>564647</v>
      </c>
      <c r="S22" s="46">
        <f t="shared" ca="1" si="9"/>
        <v>173572</v>
      </c>
      <c r="T22" s="46">
        <f t="shared" ca="1" si="4"/>
        <v>27.676445873136601</v>
      </c>
      <c r="U22" s="46">
        <f t="shared" ca="1" si="5"/>
        <v>30.739913609742015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1135795</v>
      </c>
      <c r="M24" s="46">
        <f t="shared" ca="1" si="10"/>
        <v>1218794</v>
      </c>
      <c r="N24" s="46">
        <f t="shared" ca="1" si="10"/>
        <v>951351.78</v>
      </c>
      <c r="O24" s="46">
        <f t="shared" ca="1" si="1"/>
        <v>83.760870579638052</v>
      </c>
      <c r="P24" s="46">
        <f t="shared" ca="1" si="2"/>
        <v>78.056815179595574</v>
      </c>
      <c r="Q24" s="46">
        <f t="shared" ca="1" si="11"/>
        <v>627147</v>
      </c>
      <c r="R24" s="46">
        <f t="shared" ca="1" si="11"/>
        <v>564647</v>
      </c>
      <c r="S24" s="46">
        <f t="shared" ca="1" si="11"/>
        <v>173572</v>
      </c>
      <c r="T24" s="46">
        <f t="shared" ca="1" si="4"/>
        <v>27.676445873136601</v>
      </c>
      <c r="U24" s="46">
        <f t="shared" ca="1" si="5"/>
        <v>30.739913609742015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1135795</v>
      </c>
      <c r="M41" s="525">
        <f t="shared" ca="1" si="16"/>
        <v>1218794</v>
      </c>
      <c r="N41" s="525">
        <f t="shared" ca="1" si="16"/>
        <v>951351.78</v>
      </c>
      <c r="O41" s="525">
        <f ca="1">IF(L41&gt;0,N41*100/L41,0)</f>
        <v>83.760870579638052</v>
      </c>
      <c r="P41" s="525">
        <f ca="1">IF(M41&gt;0,N41*100/M41,0)</f>
        <v>78.056815179595574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201350</v>
      </c>
      <c r="M45" s="78">
        <f t="shared" ca="1" si="17"/>
        <v>252499</v>
      </c>
      <c r="N45" s="78">
        <f t="shared" ca="1" si="17"/>
        <v>218700</v>
      </c>
      <c r="O45" s="78">
        <f t="shared" ref="O45:O53" ca="1" si="18">IF(L45&gt;0,N45*100/L45,0)</f>
        <v>108.61683635460641</v>
      </c>
      <c r="P45" s="78">
        <f t="shared" ref="P45:P53" ca="1" si="19">IF(M45&gt;0,N45*100/M45,0)</f>
        <v>86.614204412690739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201350</v>
      </c>
      <c r="M47" s="82">
        <f t="shared" ca="1" si="23"/>
        <v>252499</v>
      </c>
      <c r="N47" s="82">
        <f t="shared" ca="1" si="23"/>
        <v>218700</v>
      </c>
      <c r="O47" s="82">
        <f t="shared" ca="1" si="18"/>
        <v>108.61683635460641</v>
      </c>
      <c r="P47" s="82">
        <f t="shared" ca="1" si="19"/>
        <v>86.614204412690739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201350</v>
      </c>
      <c r="M48" s="46">
        <f t="shared" ca="1" si="25"/>
        <v>252499</v>
      </c>
      <c r="N48" s="46">
        <f t="shared" ca="1" si="25"/>
        <v>218700</v>
      </c>
      <c r="O48" s="46">
        <f t="shared" ca="1" si="18"/>
        <v>108.61683635460641</v>
      </c>
      <c r="P48" s="46">
        <f t="shared" ca="1" si="19"/>
        <v>86.614204412690739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IFERROR(__xludf.DUMMYFUNCTION("IMPORTRANGE(""https://docs.google.com/spreadsheets/d/1-uDff_7J0KD5mKrp0Vvzr7lt3OU09vwQwhkpOPPYv2Y/edit?usp=sharing"",""งบพรบ!P79"")"),201350)</f>
        <v>201350</v>
      </c>
      <c r="M50" s="46">
        <f ca="1">IFERROR(__xludf.DUMMYFUNCTION("IMPORTRANGE(""https://docs.google.com/spreadsheets/d/1-uDff_7J0KD5mKrp0Vvzr7lt3OU09vwQwhkpOPPYv2Y/edit?usp=sharing"",""งบพรบ!V79"")"),252499)</f>
        <v>252499</v>
      </c>
      <c r="N50" s="46">
        <f ca="1">IFERROR(__xludf.DUMMYFUNCTION("IMPORTRANGE(""https://docs.google.com/spreadsheets/d/1-uDff_7J0KD5mKrp0Vvzr7lt3OU09vwQwhkpOPPYv2Y/edit?usp=sharing"",""งบพรบ!Y79"")"),218700)</f>
        <v>218700</v>
      </c>
      <c r="O50" s="46">
        <f t="shared" ca="1" si="18"/>
        <v>108.61683635460641</v>
      </c>
      <c r="P50" s="46">
        <f t="shared" ca="1" si="19"/>
        <v>86.614204412690739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IFERROR(__xludf.DUMMYFUNCTION("IMPORTRANGE(""https://docs.google.com/spreadsheets/d/1-uDff_7J0KD5mKrp0Vvzr7lt3OU09vwQwhkpOPPYv2Y/edit?usp=sharing"",""งบพรบ!S79"")"),0)</f>
        <v>0</v>
      </c>
      <c r="M53" s="46">
        <f ca="1">IFERROR(__xludf.DUMMYFUNCTION("IMPORTRANGE(""https://docs.google.com/spreadsheets/d/1-uDff_7J0KD5mKrp0Vvzr7lt3OU09vwQwhkpOPPYv2Y/edit?usp=sharing"",""งบพรบ!W79"")"),0)</f>
        <v>0</v>
      </c>
      <c r="N53" s="46">
        <f ca="1">IFERROR(__xludf.DUMMYFUNCTION("IMPORTRANGE(""https://docs.google.com/spreadsheets/d/1-uDff_7J0KD5mKrp0Vvzr7lt3OU09vwQwhkpOPPYv2Y/edit?usp=sharing"",""งบพรบ!Z79"")"),0)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380700</v>
      </c>
      <c r="M60" s="105">
        <f t="shared" ca="1" si="29"/>
        <v>380700</v>
      </c>
      <c r="N60" s="105">
        <f t="shared" ca="1" si="29"/>
        <v>320336.74</v>
      </c>
      <c r="O60" s="105">
        <f t="shared" ref="O60:O68" ca="1" si="30">IF(L60&gt;0,N60*100/L60,0)</f>
        <v>84.144139742579455</v>
      </c>
      <c r="P60" s="105">
        <f t="shared" ref="P60:P68" ca="1" si="31">IF(M60&gt;0,N60*100/M60,0)</f>
        <v>84.144139742579455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380700</v>
      </c>
      <c r="M62" s="108">
        <f t="shared" ca="1" si="35"/>
        <v>380700</v>
      </c>
      <c r="N62" s="108">
        <f t="shared" ca="1" si="35"/>
        <v>320336.74</v>
      </c>
      <c r="O62" s="108">
        <f t="shared" ca="1" si="30"/>
        <v>84.144139742579455</v>
      </c>
      <c r="P62" s="108">
        <f t="shared" ca="1" si="31"/>
        <v>84.144139742579455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380700</v>
      </c>
      <c r="M63" s="46">
        <f t="shared" ca="1" si="37"/>
        <v>380700</v>
      </c>
      <c r="N63" s="46">
        <f t="shared" ca="1" si="37"/>
        <v>320336.74</v>
      </c>
      <c r="O63" s="46">
        <f t="shared" ca="1" si="30"/>
        <v>84.144139742579455</v>
      </c>
      <c r="P63" s="46">
        <f t="shared" ca="1" si="31"/>
        <v>84.144139742579455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IFERROR(__xludf.DUMMYFUNCTION("IMPORTRANGE(""https://docs.google.com/spreadsheets/d/1-uDff_7J0KD5mKrp0Vvzr7lt3OU09vwQwhkpOPPYv2Y/edit?usp=sharing"",""งบพรบ!AC79"")"),380700)</f>
        <v>380700</v>
      </c>
      <c r="M65" s="46">
        <f ca="1">IFERROR(__xludf.DUMMYFUNCTION("IMPORTRANGE(""https://docs.google.com/spreadsheets/d/1-uDff_7J0KD5mKrp0Vvzr7lt3OU09vwQwhkpOPPYv2Y/edit?usp=sharing"",""งบพรบ!AH79"")"),380700)</f>
        <v>380700</v>
      </c>
      <c r="N65" s="46">
        <f ca="1">IFERROR(__xludf.DUMMYFUNCTION("IMPORTRANGE(""https://docs.google.com/spreadsheets/d/1-uDff_7J0KD5mKrp0Vvzr7lt3OU09vwQwhkpOPPYv2Y/edit?usp=sharing"",""งบพรบ!AJ79"")"),320336.74)</f>
        <v>320336.74</v>
      </c>
      <c r="O65" s="46">
        <f t="shared" ca="1" si="30"/>
        <v>84.144139742579455</v>
      </c>
      <c r="P65" s="46">
        <f t="shared" ca="1" si="31"/>
        <v>84.144139742579455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IFERROR(__xludf.DUMMYFUNCTION("IMPORTRANGE(""https://docs.google.com/spreadsheets/d/1-uDff_7J0KD5mKrp0Vvzr7lt3OU09vwQwhkpOPPYv2Y/edit?usp=sharing"",""งบพรบ!AF79"")"),0)</f>
        <v>0</v>
      </c>
      <c r="M68" s="110">
        <f ca="1">IFERROR(__xludf.DUMMYFUNCTION("IMPORTRANGE(""https://docs.google.com/spreadsheets/d/1-uDff_7J0KD5mKrp0Vvzr7lt3OU09vwQwhkpOPPYv2Y/edit?usp=sharing"",""งบพรบ!AI79"")"),0)</f>
        <v>0</v>
      </c>
      <c r="N68" s="110">
        <f ca="1">IFERROR(__xludf.DUMMYFUNCTION("IMPORTRANGE(""https://docs.google.com/spreadsheets/d/1-uDff_7J0KD5mKrp0Vvzr7lt3OU09vwQwhkpOPPYv2Y/edit?usp=sharing"",""งบพรบ!AK79"")"),0)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IFERROR(__xludf.DUMMYFUNCTION("IMPORTRANGE(""https://docs.google.com/spreadsheets/d/1-uDff_7J0KD5mKrp0Vvzr7lt3OU09vwQwhkpOPPYv2Y/edit?usp=sharing"",""งบพรบ!AM79"")"),0)</f>
        <v>0</v>
      </c>
      <c r="M78" s="46">
        <f ca="1">IFERROR(__xludf.DUMMYFUNCTION("IMPORTRANGE(""https://docs.google.com/spreadsheets/d/1-uDff_7J0KD5mKrp0Vvzr7lt3OU09vwQwhkpOPPYv2Y/edit?usp=sharing"",""งบพรบ!AR79"")"),0)</f>
        <v>0</v>
      </c>
      <c r="N78" s="46">
        <f ca="1">IFERROR(__xludf.DUMMYFUNCTION("IMPORTRANGE(""https://docs.google.com/spreadsheets/d/1-uDff_7J0KD5mKrp0Vvzr7lt3OU09vwQwhkpOPPYv2Y/edit?usp=sharing"",""งบพรบ!AT79"")"),0)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IFERROR(__xludf.DUMMYFUNCTION("IMPORTRANGE(""https://docs.google.com/spreadsheets/d/1ItG2mGa2ceCfYo0BwxsXqNm01IGEUdYcSSLTEv9YCik/edit?usp=sharing"",""เบิกจ่ายกองทุน!AS79"")"),0)</f>
        <v>0</v>
      </c>
      <c r="R78" s="46">
        <f ca="1">IFERROR(__xludf.DUMMYFUNCTION("IMPORTRANGE(""https://docs.google.com/spreadsheets/d/1ItG2mGa2ceCfYo0BwxsXqNm01IGEUdYcSSLTEv9YCik/edit?usp=sharing"",""เบิกจ่ายกองทุน!AT79"")"),0)</f>
        <v>0</v>
      </c>
      <c r="S78" s="46">
        <f ca="1">IFERROR(__xludf.DUMMYFUNCTION("IMPORTRANGE(""https://docs.google.com/spreadsheets/d/1ItG2mGa2ceCfYo0BwxsXqNm01IGEUdYcSSLTEv9YCik/edit?usp=sharing"",""เบิกจ่ายกองทุน!AU79"")"),0)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IFERROR(__xludf.DUMMYFUNCTION("IMPORTRANGE(""https://docs.google.com/spreadsheets/d/1-uDff_7J0KD5mKrp0Vvzr7lt3OU09vwQwhkpOPPYv2Y/edit?usp=sharing"",""งบพรบ!AP79"")"),0)</f>
        <v>0</v>
      </c>
      <c r="M81" s="46">
        <f ca="1">IFERROR(__xludf.DUMMYFUNCTION("IMPORTRANGE(""https://docs.google.com/spreadsheets/d/1-uDff_7J0KD5mKrp0Vvzr7lt3OU09vwQwhkpOPPYv2Y/edit?usp=sharing"",""งบพรบ!AS79"")"),0)</f>
        <v>0</v>
      </c>
      <c r="N81" s="46">
        <f ca="1">IFERROR(__xludf.DUMMYFUNCTION("IMPORTRANGE(""https://docs.google.com/spreadsheets/d/1-uDff_7J0KD5mKrp0Vvzr7lt3OU09vwQwhkpOPPYv2Y/edit?usp=sharing"",""งบพรบ!AU79"")"),0)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IFERROR(__xludf.DUMMYFUNCTION("IMPORTRANGE(""https://docs.google.com/spreadsheets/d/1eHaY18a8A9IcSdp1K8H6x8fbOy06t2VsZHhMHf-1x7Y/edit?usp=sharing"",""แผน!H79"")"),0)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IFERROR(__xludf.DUMMYFUNCTION("IMPORTRANGE(""https://docs.google.com/spreadsheets/d/1eHaY18a8A9IcSdp1K8H6x8fbOy06t2VsZHhMHf-1x7Y/edit?usp=sharing"",""แผน!I79"")"),0)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IFERROR(__xludf.DUMMYFUNCTION("IMPORTRANGE(""https://docs.google.com/spreadsheets/d/1eHaY18a8A9IcSdp1K8H6x8fbOy06t2VsZHhMHf-1x7Y/edit?usp=sharing"",""แผน!F79"")"),0)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IFERROR(__xludf.DUMMYFUNCTION("IMPORTRANGE(""https://docs.google.com/spreadsheets/d/1eHaY18a8A9IcSdp1K8H6x8fbOy06t2VsZHhMHf-1x7Y/edit?usp=sharing"",""แผน!G79"")"),0)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IFERROR(__xludf.DUMMYFUNCTION("IMPORTRANGE(""https://docs.google.com/spreadsheets/d/1eHaY18a8A9IcSdp1K8H6x8fbOy06t2VsZHhMHf-1x7Y/edit?usp=sharing"",""แผน!D79"")"),0)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IFERROR(__xludf.DUMMYFUNCTION("IMPORTRANGE(""https://docs.google.com/spreadsheets/d/1eHaY18a8A9IcSdp1K8H6x8fbOy06t2VsZHhMHf-1x7Y/edit?usp=sharing"",""แผน!E79"")"),0)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IFERROR(__xludf.DUMMYFUNCTION("IMPORTRANGE(""https://docs.google.com/spreadsheets/d/1eHaY18a8A9IcSdp1K8H6x8fbOy06t2VsZHhMHf-1x7Y/edit?usp=sharing"",""แผน!J79"")"),0)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60</v>
      </c>
      <c r="J93" s="127">
        <f t="shared" si="57"/>
        <v>60</v>
      </c>
      <c r="K93" s="34">
        <f t="shared" ref="K93:K94" ca="1" si="58">IF(I93&gt;0,J93*100/I93,0)</f>
        <v>100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20</v>
      </c>
      <c r="J94" s="127">
        <f t="shared" si="57"/>
        <v>20</v>
      </c>
      <c r="K94" s="34">
        <f t="shared" ca="1" si="58"/>
        <v>100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168840</v>
      </c>
      <c r="R95" s="132">
        <f t="shared" ca="1" si="62"/>
        <v>168840</v>
      </c>
      <c r="S95" s="132">
        <f t="shared" ca="1" si="62"/>
        <v>58940</v>
      </c>
      <c r="T95" s="132">
        <f t="shared" ref="T95:T103" ca="1" si="63">IF(Q95&gt;0,S95*100/Q95,0)</f>
        <v>34.908789386401324</v>
      </c>
      <c r="U95" s="132">
        <f t="shared" ref="U95:U103" ca="1" si="64">IF(R95&gt;0,S95*100/R95,0)</f>
        <v>34.908789386401324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168840</v>
      </c>
      <c r="R97" s="46">
        <f t="shared" ca="1" si="66"/>
        <v>168840</v>
      </c>
      <c r="S97" s="46">
        <f t="shared" ca="1" si="66"/>
        <v>58940</v>
      </c>
      <c r="T97" s="46">
        <f t="shared" ca="1" si="63"/>
        <v>34.908789386401324</v>
      </c>
      <c r="U97" s="46">
        <f t="shared" ca="1" si="64"/>
        <v>34.908789386401324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168840</v>
      </c>
      <c r="R98" s="46">
        <f t="shared" ca="1" si="68"/>
        <v>168840</v>
      </c>
      <c r="S98" s="46">
        <f t="shared" ca="1" si="68"/>
        <v>58940</v>
      </c>
      <c r="T98" s="46">
        <f t="shared" ca="1" si="63"/>
        <v>34.908789386401324</v>
      </c>
      <c r="U98" s="46">
        <f t="shared" ca="1" si="64"/>
        <v>34.908789386401324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IFERROR(__xludf.DUMMYFUNCTION("IMPORTRANGE(""https://docs.google.com/spreadsheets/d/1-uDff_7J0KD5mKrp0Vvzr7lt3OU09vwQwhkpOPPYv2Y/edit?usp=sharing"",""งบพรบ!AW79"")"),0)</f>
        <v>0</v>
      </c>
      <c r="M100" s="46">
        <f ca="1">IFERROR(__xludf.DUMMYFUNCTION("IMPORTRANGE(""https://docs.google.com/spreadsheets/d/1-uDff_7J0KD5mKrp0Vvzr7lt3OU09vwQwhkpOPPYv2Y/edit?usp=sharing"",""งบพรบ!BB79"")"),0)</f>
        <v>0</v>
      </c>
      <c r="N100" s="46">
        <f ca="1">IFERROR(__xludf.DUMMYFUNCTION("IMPORTRANGE(""https://docs.google.com/spreadsheets/d/1-uDff_7J0KD5mKrp0Vvzr7lt3OU09vwQwhkpOPPYv2Y/edit?usp=sharing"",""งบพรบ!BD79"")"),0)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IFERROR(__xludf.DUMMYFUNCTION("IMPORTRANGE(""https://docs.google.com/spreadsheets/d/1ItG2mGa2ceCfYo0BwxsXqNm01IGEUdYcSSLTEv9YCik/edit?usp=sharing"",""เบิกจ่ายกองทุน!AD79"")"),168840)</f>
        <v>168840</v>
      </c>
      <c r="R100" s="46">
        <f ca="1">IFERROR(__xludf.DUMMYFUNCTION("IMPORTRANGE(""https://docs.google.com/spreadsheets/d/1ItG2mGa2ceCfYo0BwxsXqNm01IGEUdYcSSLTEv9YCik/edit?usp=sharing"",""เบิกจ่ายกองทุน!AE79"")"),168840)</f>
        <v>168840</v>
      </c>
      <c r="S100" s="46">
        <f ca="1">IFERROR(__xludf.DUMMYFUNCTION("IMPORTRANGE(""https://docs.google.com/spreadsheets/d/1ItG2mGa2ceCfYo0BwxsXqNm01IGEUdYcSSLTEv9YCik/edit?usp=sharing"",""เบิกจ่ายกองทุน!AF79"")"),58940)</f>
        <v>58940</v>
      </c>
      <c r="T100" s="46">
        <f t="shared" ca="1" si="63"/>
        <v>34.908789386401324</v>
      </c>
      <c r="U100" s="46">
        <f t="shared" ca="1" si="64"/>
        <v>34.908789386401324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IFERROR(__xludf.DUMMYFUNCTION("IMPORTRANGE(""https://docs.google.com/spreadsheets/d/1-uDff_7J0KD5mKrp0Vvzr7lt3OU09vwQwhkpOPPYv2Y/edit?usp=sharing"",""งบพรบ!AZ79"")"),0)</f>
        <v>0</v>
      </c>
      <c r="M103" s="46">
        <f ca="1">IFERROR(__xludf.DUMMYFUNCTION("IMPORTRANGE(""https://docs.google.com/spreadsheets/d/1-uDff_7J0KD5mKrp0Vvzr7lt3OU09vwQwhkpOPPYv2Y/edit?usp=sharing"",""งบพรบ!BC79"")"),0)</f>
        <v>0</v>
      </c>
      <c r="N103" s="46">
        <f ca="1">IFERROR(__xludf.DUMMYFUNCTION("IMPORTRANGE(""https://docs.google.com/spreadsheets/d/1-uDff_7J0KD5mKrp0Vvzr7lt3OU09vwQwhkpOPPYv2Y/edit?usp=sharing"",""งบพรบ!BE79"")"),0)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IFERROR(__xludf.DUMMYFUNCTION("IMPORTRANGE(""https://docs.google.com/spreadsheets/d/1eHaY18a8A9IcSdp1K8H6x8fbOy06t2VsZHhMHf-1x7Y/edit?usp=sharing"",""แผน!N79"")"),60)</f>
        <v>60</v>
      </c>
      <c r="J109" s="168">
        <v>60</v>
      </c>
      <c r="K109" s="46">
        <f t="shared" ref="K109:K110" ca="1" si="71">IF(I109&gt;0,J109*100/I109,0)</f>
        <v>100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IFERROR(__xludf.DUMMYFUNCTION("IMPORTRANGE(""https://docs.google.com/spreadsheets/d/1eHaY18a8A9IcSdp1K8H6x8fbOy06t2VsZHhMHf-1x7Y/edit?usp=sharing"",""แผน!O79"")"),20)</f>
        <v>20</v>
      </c>
      <c r="J110" s="168">
        <v>20</v>
      </c>
      <c r="K110" s="46">
        <f t="shared" ca="1" si="71"/>
        <v>100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IFERROR(__xludf.DUMMYFUNCTION("IMPORTRANGE(""https://docs.google.com/spreadsheets/d/1eHaY18a8A9IcSdp1K8H6x8fbOy06t2VsZHhMHf-1x7Y/edit?usp=sharing"",""แผน!N79"")"),60)</f>
        <v>60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IFERROR(__xludf.DUMMYFUNCTION("IMPORTRANGE(""https://docs.google.com/spreadsheets/d/1eHaY18a8A9IcSdp1K8H6x8fbOy06t2VsZHhMHf-1x7Y/edit?usp=sharing"",""แผน!O79"")"),20)</f>
        <v>20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25</v>
      </c>
      <c r="J117" s="127">
        <f t="shared" si="73"/>
        <v>15</v>
      </c>
      <c r="K117" s="34">
        <f ca="1">IF(I117&gt;0,J117*100/I117,0)</f>
        <v>60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229220</v>
      </c>
      <c r="R118" s="132">
        <f t="shared" ca="1" si="77"/>
        <v>229220</v>
      </c>
      <c r="S118" s="132">
        <f t="shared" ca="1" si="77"/>
        <v>90065</v>
      </c>
      <c r="T118" s="132">
        <f t="shared" ref="T118:T126" ca="1" si="78">IF(Q118&gt;0,S118*100/Q118,0)</f>
        <v>39.291946601518191</v>
      </c>
      <c r="U118" s="132">
        <f t="shared" ref="U118:U126" ca="1" si="79">IF(R118&gt;0,S118*100/R118,0)</f>
        <v>39.291946601518191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229220</v>
      </c>
      <c r="R120" s="46">
        <f t="shared" ca="1" si="81"/>
        <v>229220</v>
      </c>
      <c r="S120" s="46">
        <f t="shared" ca="1" si="81"/>
        <v>90065</v>
      </c>
      <c r="T120" s="46">
        <f t="shared" ca="1" si="78"/>
        <v>39.291946601518191</v>
      </c>
      <c r="U120" s="46">
        <f t="shared" ca="1" si="79"/>
        <v>39.291946601518191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229220</v>
      </c>
      <c r="R121" s="46">
        <f t="shared" ca="1" si="83"/>
        <v>229220</v>
      </c>
      <c r="S121" s="46">
        <f t="shared" ca="1" si="83"/>
        <v>90065</v>
      </c>
      <c r="T121" s="46">
        <f t="shared" ca="1" si="78"/>
        <v>39.291946601518191</v>
      </c>
      <c r="U121" s="46">
        <f t="shared" ca="1" si="79"/>
        <v>39.291946601518191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IFERROR(__xludf.DUMMYFUNCTION("IMPORTRANGE(""https://docs.google.com/spreadsheets/d/1-uDff_7J0KD5mKrp0Vvzr7lt3OU09vwQwhkpOPPYv2Y/edit?usp=sharing"",""งบพรบ!BG79"")"),0)</f>
        <v>0</v>
      </c>
      <c r="M123" s="46">
        <f ca="1">IFERROR(__xludf.DUMMYFUNCTION("IMPORTRANGE(""https://docs.google.com/spreadsheets/d/1-uDff_7J0KD5mKrp0Vvzr7lt3OU09vwQwhkpOPPYv2Y/edit?usp=sharing"",""งบพรบ!BL79"")"),0)</f>
        <v>0</v>
      </c>
      <c r="N123" s="46">
        <f ca="1">IFERROR(__xludf.DUMMYFUNCTION("IMPORTRANGE(""https://docs.google.com/spreadsheets/d/1-uDff_7J0KD5mKrp0Vvzr7lt3OU09vwQwhkpOPPYv2Y/edit?usp=sharing"",""งบพรบ!BN79"")"),0)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IFERROR(__xludf.DUMMYFUNCTION("IMPORTRANGE(""https://docs.google.com/spreadsheets/d/1ItG2mGa2ceCfYo0BwxsXqNm01IGEUdYcSSLTEv9YCik/edit?usp=sharing"",""เบิกจ่ายกองทุน!R79"")"),229220)</f>
        <v>229220</v>
      </c>
      <c r="R123" s="46">
        <f ca="1">IFERROR(__xludf.DUMMYFUNCTION("IMPORTRANGE(""https://docs.google.com/spreadsheets/d/1ItG2mGa2ceCfYo0BwxsXqNm01IGEUdYcSSLTEv9YCik/edit?usp=sharing"",""เบิกจ่ายกองทุน!S79"")"),229220)</f>
        <v>229220</v>
      </c>
      <c r="S123" s="46">
        <f ca="1">IFERROR(__xludf.DUMMYFUNCTION("IMPORTRANGE(""https://docs.google.com/spreadsheets/d/1ItG2mGa2ceCfYo0BwxsXqNm01IGEUdYcSSLTEv9YCik/edit?usp=sharing"",""เบิกจ่ายกองทุน!T79"")"),90065)</f>
        <v>90065</v>
      </c>
      <c r="T123" s="46">
        <f t="shared" ca="1" si="78"/>
        <v>39.291946601518191</v>
      </c>
      <c r="U123" s="46">
        <f t="shared" ca="1" si="79"/>
        <v>39.291946601518191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IFERROR(__xludf.DUMMYFUNCTION("IMPORTRANGE(""https://docs.google.com/spreadsheets/d/1-uDff_7J0KD5mKrp0Vvzr7lt3OU09vwQwhkpOPPYv2Y/edit?usp=sharing"",""งบพรบ!BJ79"")"),0)</f>
        <v>0</v>
      </c>
      <c r="M126" s="46">
        <f ca="1">IFERROR(__xludf.DUMMYFUNCTION("IMPORTRANGE(""https://docs.google.com/spreadsheets/d/1-uDff_7J0KD5mKrp0Vvzr7lt3OU09vwQwhkpOPPYv2Y/edit?usp=sharing"",""งบพรบ!BM79"")"),0)</f>
        <v>0</v>
      </c>
      <c r="N126" s="46">
        <f ca="1">IFERROR(__xludf.DUMMYFUNCTION("IMPORTRANGE(""https://docs.google.com/spreadsheets/d/1-uDff_7J0KD5mKrp0Vvzr7lt3OU09vwQwhkpOPPYv2Y/edit?usp=sharing"",""งบพรบ!BO79"")"),0)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IFERROR(__xludf.DUMMYFUNCTION("IMPORTRANGE(""https://docs.google.com/spreadsheets/d/1eHaY18a8A9IcSdp1K8H6x8fbOy06t2VsZHhMHf-1x7Y/edit?usp=sharing"",""แผน!FF79"")"),25)</f>
        <v>25</v>
      </c>
      <c r="J128" s="168">
        <v>15</v>
      </c>
      <c r="K128" s="46">
        <f t="shared" ref="K128:K131" ca="1" si="86">IF(I128&gt;0,J128*100/I128,0)</f>
        <v>60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IFERROR(__xludf.DUMMYFUNCTION("IMPORTRANGE(""https://docs.google.com/spreadsheets/d/1eHaY18a8A9IcSdp1K8H6x8fbOy06t2VsZHhMHf-1x7Y/edit?usp=sharing"",""แผน!FG79"")"),0)</f>
        <v>0</v>
      </c>
      <c r="J129" s="168">
        <v>1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IFERROR(__xludf.DUMMYFUNCTION("IMPORTRANGE(""https://docs.google.com/spreadsheets/d/1eHaY18a8A9IcSdp1K8H6x8fbOy06t2VsZHhMHf-1x7Y/edit?usp=sharing"",""แผน!FH79"")"),25)</f>
        <v>25</v>
      </c>
      <c r="J130" s="168">
        <v>15</v>
      </c>
      <c r="K130" s="46">
        <f t="shared" ca="1" si="86"/>
        <v>60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IFERROR(__xludf.DUMMYFUNCTION("IMPORTRANGE(""https://docs.google.com/spreadsheets/d/1eHaY18a8A9IcSdp1K8H6x8fbOy06t2VsZHhMHf-1x7Y/edit?usp=sharing"",""แผน!FI79"")"),0)</f>
        <v>0</v>
      </c>
      <c r="J131" s="168">
        <v>1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0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0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0</v>
      </c>
      <c r="M140" s="132">
        <f t="shared" ca="1" si="90"/>
        <v>0</v>
      </c>
      <c r="N140" s="132">
        <f t="shared" ca="1" si="90"/>
        <v>0</v>
      </c>
      <c r="O140" s="132">
        <f t="shared" ref="O140:O148" ca="1" si="91">IF(L140&gt;0,N140*100/L140,0)</f>
        <v>0</v>
      </c>
      <c r="P140" s="132">
        <f t="shared" ref="P140:P148" ca="1" si="92">IF(M140&gt;0,N140*100/M140,0)</f>
        <v>0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0</v>
      </c>
      <c r="M142" s="46">
        <f t="shared" ca="1" si="96"/>
        <v>0</v>
      </c>
      <c r="N142" s="46">
        <f t="shared" ca="1" si="96"/>
        <v>0</v>
      </c>
      <c r="O142" s="46">
        <f t="shared" ca="1" si="91"/>
        <v>0</v>
      </c>
      <c r="P142" s="46">
        <f t="shared" ca="1" si="92"/>
        <v>0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0</v>
      </c>
      <c r="M143" s="46">
        <f t="shared" ca="1" si="98"/>
        <v>0</v>
      </c>
      <c r="N143" s="46">
        <f t="shared" ca="1" si="98"/>
        <v>0</v>
      </c>
      <c r="O143" s="46">
        <f t="shared" ca="1" si="91"/>
        <v>0</v>
      </c>
      <c r="P143" s="46">
        <f t="shared" ca="1" si="92"/>
        <v>0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IFERROR(__xludf.DUMMYFUNCTION("IMPORTRANGE(""https://docs.google.com/spreadsheets/d/1-uDff_7J0KD5mKrp0Vvzr7lt3OU09vwQwhkpOPPYv2Y/edit?usp=sharing"",""งบพรบ!BQ79"")"),0)</f>
        <v>0</v>
      </c>
      <c r="M145" s="46">
        <f ca="1">IFERROR(__xludf.DUMMYFUNCTION("IMPORTRANGE(""https://docs.google.com/spreadsheets/d/1-uDff_7J0KD5mKrp0Vvzr7lt3OU09vwQwhkpOPPYv2Y/edit?usp=sharing"",""งบพรบ!BV79"")"),0)</f>
        <v>0</v>
      </c>
      <c r="N145" s="46">
        <f ca="1">IFERROR(__xludf.DUMMYFUNCTION("IMPORTRANGE(""https://docs.google.com/spreadsheets/d/1-uDff_7J0KD5mKrp0Vvzr7lt3OU09vwQwhkpOPPYv2Y/edit?usp=sharing"",""งบพรบ!BX79"")"),0)</f>
        <v>0</v>
      </c>
      <c r="O145" s="46">
        <f t="shared" ca="1" si="91"/>
        <v>0</v>
      </c>
      <c r="P145" s="46">
        <f t="shared" ca="1" si="92"/>
        <v>0</v>
      </c>
      <c r="Q145" s="46">
        <f ca="1">IFERROR(__xludf.DUMMYFUNCTION("IMPORTRANGE(""https://docs.google.com/spreadsheets/d/1ItG2mGa2ceCfYo0BwxsXqNm01IGEUdYcSSLTEv9YCik/edit?usp=sharing"",""เบิกจ่ายกองทุน!BB79"")"),0)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IFERROR(__xludf.DUMMYFUNCTION("IMPORTRANGE(""https://docs.google.com/spreadsheets/d/1ItG2mGa2ceCfYo0BwxsXqNm01IGEUdYcSSLTEv9YCik/edit?usp=sharing"",""เบิกจ่ายกองทุน!BC79"")"),0)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IFERROR(__xludf.DUMMYFUNCTION("IMPORTRANGE(""https://docs.google.com/spreadsheets/d/1ItG2mGa2ceCfYo0BwxsXqNm01IGEUdYcSSLTEv9YCik/edit?usp=sharing"",""เบิกจ่ายกองทุน!BD79"")"),0)</f>
        <v>0</v>
      </c>
      <c r="T145" s="46">
        <f t="shared" ca="1" si="94"/>
        <v>0</v>
      </c>
      <c r="U145" s="46">
        <f t="shared" ca="1" si="95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IFERROR(__xludf.DUMMYFUNCTION("IMPORTRANGE(""https://docs.google.com/spreadsheets/d/1-uDff_7J0KD5mKrp0Vvzr7lt3OU09vwQwhkpOPPYv2Y/edit?usp=sharing"",""งบพรบ!BT79"")"),0)</f>
        <v>0</v>
      </c>
      <c r="M148" s="46">
        <f ca="1">IFERROR(__xludf.DUMMYFUNCTION("IMPORTRANGE(""https://docs.google.com/spreadsheets/d/1-uDff_7J0KD5mKrp0Vvzr7lt3OU09vwQwhkpOPPYv2Y/edit?usp=sharing"",""งบพรบ!BW79"")"),0)</f>
        <v>0</v>
      </c>
      <c r="N148" s="46">
        <f ca="1">IFERROR(__xludf.DUMMYFUNCTION("IMPORTRANGE(""https://docs.google.com/spreadsheets/d/1-uDff_7J0KD5mKrp0Vvzr7lt3OU09vwQwhkpOPPYv2Y/edit?usp=sharing"",""งบพรบ!BY79"")"),0)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IFERROR(__xludf.DUMMYFUNCTION("IMPORTRANGE(""https://docs.google.com/spreadsheets/d/1eHaY18a8A9IcSdp1K8H6x8fbOy06t2VsZHhMHf-1x7Y/edit?usp=sharing"",""แผน!U79"")"),0)</f>
        <v>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IFERROR(__xludf.DUMMYFUNCTION("IMPORTRANGE(""https://docs.google.com/spreadsheets/d/1eHaY18a8A9IcSdp1K8H6x8fbOy06t2VsZHhMHf-1x7Y/edit?usp=sharing"",""แผน!V79"")"),0)</f>
        <v>0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IFERROR(__xludf.DUMMYFUNCTION("IMPORTRANGE(""https://docs.google.com/spreadsheets/d/1eHaY18a8A9IcSdp1K8H6x8fbOy06t2VsZHhMHf-1x7Y/edit?usp=sharing"",""แผน!W79"")"),0)</f>
        <v>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IFERROR(__xludf.DUMMYFUNCTION("IMPORTRANGE(""https://docs.google.com/spreadsheets/d/1eHaY18a8A9IcSdp1K8H6x8fbOy06t2VsZHhMHf-1x7Y/edit?usp=sharing"",""แผน!X79"")"),0)</f>
        <v>0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IFERROR(__xludf.DUMMYFUNCTION("IMPORTRANGE(""https://docs.google.com/spreadsheets/d/1eHaY18a8A9IcSdp1K8H6x8fbOy06t2VsZHhMHf-1x7Y/edit?usp=sharing"",""แผน!Y79"")"),0)</f>
        <v>0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I170</f>
        <v>0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0</v>
      </c>
      <c r="M158" s="132">
        <f t="shared" ca="1" si="104"/>
        <v>0</v>
      </c>
      <c r="N158" s="132">
        <f t="shared" ca="1" si="104"/>
        <v>0</v>
      </c>
      <c r="O158" s="132">
        <f t="shared" ref="O158:O166" ca="1" si="105">IF(L158&gt;0,N158*100/L158,0)</f>
        <v>0</v>
      </c>
      <c r="P158" s="132">
        <f t="shared" ref="P158:P166" ca="1" si="106">IF(M158&gt;0,N158*100/M158,0)</f>
        <v>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0</v>
      </c>
      <c r="M160" s="46">
        <f t="shared" ca="1" si="110"/>
        <v>0</v>
      </c>
      <c r="N160" s="46">
        <f t="shared" ca="1" si="110"/>
        <v>0</v>
      </c>
      <c r="O160" s="46">
        <f t="shared" ca="1" si="105"/>
        <v>0</v>
      </c>
      <c r="P160" s="46">
        <f t="shared" ca="1" si="106"/>
        <v>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0</v>
      </c>
      <c r="M161" s="46">
        <f t="shared" ca="1" si="112"/>
        <v>0</v>
      </c>
      <c r="N161" s="46">
        <f t="shared" ca="1" si="112"/>
        <v>0</v>
      </c>
      <c r="O161" s="46">
        <f t="shared" ca="1" si="105"/>
        <v>0</v>
      </c>
      <c r="P161" s="46">
        <f t="shared" ca="1" si="106"/>
        <v>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IFERROR(__xludf.DUMMYFUNCTION("IMPORTRANGE(""https://docs.google.com/spreadsheets/d/1-uDff_7J0KD5mKrp0Vvzr7lt3OU09vwQwhkpOPPYv2Y/edit?usp=sharing"",""งบพรบ!CA79"")"),0)</f>
        <v>0</v>
      </c>
      <c r="M163" s="46">
        <f ca="1">IFERROR(__xludf.DUMMYFUNCTION("IMPORTRANGE(""https://docs.google.com/spreadsheets/d/1-uDff_7J0KD5mKrp0Vvzr7lt3OU09vwQwhkpOPPYv2Y/edit?usp=sharing"",""งบพรบ!CF79"")"),0)</f>
        <v>0</v>
      </c>
      <c r="N163" s="46">
        <f ca="1">IFERROR(__xludf.DUMMYFUNCTION("IMPORTRANGE(""https://docs.google.com/spreadsheets/d/1-uDff_7J0KD5mKrp0Vvzr7lt3OU09vwQwhkpOPPYv2Y/edit?usp=sharing"",""งบพรบ!CH79"")"),0)</f>
        <v>0</v>
      </c>
      <c r="O163" s="46">
        <f t="shared" ca="1" si="105"/>
        <v>0</v>
      </c>
      <c r="P163" s="46">
        <f t="shared" ca="1" si="106"/>
        <v>0</v>
      </c>
      <c r="Q163" s="46">
        <f ca="1">IFERROR(__xludf.DUMMYFUNCTION("IMPORTRANGE(""https://docs.google.com/spreadsheets/d/1ItG2mGa2ceCfYo0BwxsXqNm01IGEUdYcSSLTEv9YCik/edit?usp=sharing"",""เบิกจ่ายกองทุน!AG79"")"),0)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IFERROR(__xludf.DUMMYFUNCTION("IMPORTRANGE(""https://docs.google.com/spreadsheets/d/1ItG2mGa2ceCfYo0BwxsXqNm01IGEUdYcSSLTEv9YCik/edit?usp=sharing"",""เบิกจ่ายกองทุน!AH79"")"),0)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IFERROR(__xludf.DUMMYFUNCTION("IMPORTRANGE(""https://docs.google.com/spreadsheets/d/1ItG2mGa2ceCfYo0BwxsXqNm01IGEUdYcSSLTEv9YCik/edit?usp=sharing"",""เบิกจ่ายกองทุน!AI79"")"),0)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IFERROR(__xludf.DUMMYFUNCTION("IMPORTRANGE(""https://docs.google.com/spreadsheets/d/1-uDff_7J0KD5mKrp0Vvzr7lt3OU09vwQwhkpOPPYv2Y/edit?usp=sharing"",""งบพรบ!CD79"")"),0)</f>
        <v>0</v>
      </c>
      <c r="M166" s="46">
        <f ca="1">IFERROR(__xludf.DUMMYFUNCTION("IMPORTRANGE(""https://docs.google.com/spreadsheets/d/1-uDff_7J0KD5mKrp0Vvzr7lt3OU09vwQwhkpOPPYv2Y/edit?usp=sharing"",""งบพรบ!CG79"")"),0)</f>
        <v>0</v>
      </c>
      <c r="N166" s="46">
        <f ca="1">IFERROR(__xludf.DUMMYFUNCTION("IMPORTRANGE(""https://docs.google.com/spreadsheets/d/1-uDff_7J0KD5mKrp0Vvzr7lt3OU09vwQwhkpOPPYv2Y/edit?usp=sharing"",""งบพรบ!CI79"")"),0)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IFERROR(__xludf.DUMMYFUNCTION("IMPORTRANGE(""https://docs.google.com/spreadsheets/d/1eHaY18a8A9IcSdp1K8H6x8fbOy06t2VsZHhMHf-1x7Y/edit?usp=sharing"",""แผน!Z79"")"),0)</f>
        <v>0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IFERROR(__xludf.DUMMYFUNCTION("IMPORTRANGE(""https://docs.google.com/spreadsheets/d/1eHaY18a8A9IcSdp1K8H6x8fbOy06t2VsZHhMHf-1x7Y/edit?usp=sharing"",""แผน!Z79"")"),0)</f>
        <v>0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IFERROR(__xludf.DUMMYFUNCTION("IMPORTRANGE(""https://docs.google.com/spreadsheets/d/1eHaY18a8A9IcSdp1K8H6x8fbOy06t2VsZHhMHf-1x7Y/edit?usp=sharing"",""แผน!Z79"")"),0)</f>
        <v>0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7</v>
      </c>
      <c r="J173" s="221">
        <f t="shared" si="117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19590</v>
      </c>
      <c r="M174" s="132">
        <f t="shared" ca="1" si="118"/>
        <v>41440</v>
      </c>
      <c r="N174" s="132">
        <f t="shared" ca="1" si="118"/>
        <v>41440</v>
      </c>
      <c r="O174" s="132">
        <f t="shared" ref="O174:O182" ca="1" si="119">IF(L174&gt;0,N174*100/L174,0)</f>
        <v>211.53649821337416</v>
      </c>
      <c r="P174" s="132">
        <f t="shared" ref="P174:P182" ca="1" si="120">IF(M174&gt;0,N174*100/M174,0)</f>
        <v>100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19590</v>
      </c>
      <c r="M176" s="46">
        <f t="shared" ca="1" si="124"/>
        <v>41440</v>
      </c>
      <c r="N176" s="46">
        <f t="shared" ca="1" si="124"/>
        <v>41440</v>
      </c>
      <c r="O176" s="46">
        <f t="shared" ca="1" si="119"/>
        <v>211.53649821337416</v>
      </c>
      <c r="P176" s="46">
        <f t="shared" ca="1" si="120"/>
        <v>100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19590</v>
      </c>
      <c r="M177" s="46">
        <f t="shared" ca="1" si="126"/>
        <v>41440</v>
      </c>
      <c r="N177" s="46">
        <f t="shared" ca="1" si="126"/>
        <v>41440</v>
      </c>
      <c r="O177" s="46">
        <f t="shared" ca="1" si="119"/>
        <v>211.53649821337416</v>
      </c>
      <c r="P177" s="46">
        <f t="shared" ca="1" si="120"/>
        <v>100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IFERROR(__xludf.DUMMYFUNCTION("IMPORTRANGE(""https://docs.google.com/spreadsheets/d/1-uDff_7J0KD5mKrp0Vvzr7lt3OU09vwQwhkpOPPYv2Y/edit?usp=sharing"",""งบพรบ!CK79"")"),19590)</f>
        <v>19590</v>
      </c>
      <c r="M179" s="46">
        <f ca="1">IFERROR(__xludf.DUMMYFUNCTION("IMPORTRANGE(""https://docs.google.com/spreadsheets/d/1-uDff_7J0KD5mKrp0Vvzr7lt3OU09vwQwhkpOPPYv2Y/edit?usp=sharing"",""งบพรบ!CP79"")"),41440)</f>
        <v>41440</v>
      </c>
      <c r="N179" s="46">
        <f ca="1">IFERROR(__xludf.DUMMYFUNCTION("IMPORTRANGE(""https://docs.google.com/spreadsheets/d/1-uDff_7J0KD5mKrp0Vvzr7lt3OU09vwQwhkpOPPYv2Y/edit?usp=sharing"",""งบพรบ!CR79"")"),41440)</f>
        <v>41440</v>
      </c>
      <c r="O179" s="46">
        <f t="shared" ca="1" si="119"/>
        <v>211.53649821337416</v>
      </c>
      <c r="P179" s="46">
        <f t="shared" ca="1" si="120"/>
        <v>100</v>
      </c>
      <c r="Q179" s="46">
        <f ca="1">IFERROR(__xludf.DUMMYFUNCTION("IMPORTRANGE(""https://docs.google.com/spreadsheets/d/1ItG2mGa2ceCfYo0BwxsXqNm01IGEUdYcSSLTEv9YCik/edit?usp=sharing"",""เบิกจ่ายกองทุน!BE79"")"),0)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IFERROR(__xludf.DUMMYFUNCTION("IMPORTRANGE(""https://docs.google.com/spreadsheets/d/1ItG2mGa2ceCfYo0BwxsXqNm01IGEUdYcSSLTEv9YCik/edit?usp=sharing"",""เบิกจ่ายกองทุน!BF79"")"),0)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IFERROR(__xludf.DUMMYFUNCTION("IMPORTRANGE(""https://docs.google.com/spreadsheets/d/1ItG2mGa2ceCfYo0BwxsXqNm01IGEUdYcSSLTEv9YCik/edit?usp=sharing"",""เบิกจ่ายกองทุน!BG79"")"),0)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IFERROR(__xludf.DUMMYFUNCTION("IMPORTRANGE(""https://docs.google.com/spreadsheets/d/1-uDff_7J0KD5mKrp0Vvzr7lt3OU09vwQwhkpOPPYv2Y/edit?usp=sharing"",""งบพรบ!CN79"")"),0)</f>
        <v>0</v>
      </c>
      <c r="M182" s="46">
        <f ca="1">IFERROR(__xludf.DUMMYFUNCTION("IMPORTRANGE(""https://docs.google.com/spreadsheets/d/1-uDff_7J0KD5mKrp0Vvzr7lt3OU09vwQwhkpOPPYv2Y/edit?usp=sharing"",""งบพรบ!CQ79"")"),0)</f>
        <v>0</v>
      </c>
      <c r="N182" s="46">
        <f ca="1">IFERROR(__xludf.DUMMYFUNCTION("IMPORTRANGE(""https://docs.google.com/spreadsheets/d/1-uDff_7J0KD5mKrp0Vvzr7lt3OU09vwQwhkpOPPYv2Y/edit?usp=sharing"",""งบพรบ!CS79"")"),0)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IFERROR(__xludf.DUMMYFUNCTION("IMPORTRANGE(""https://docs.google.com/spreadsheets/d/1eHaY18a8A9IcSdp1K8H6x8fbOy06t2VsZHhMHf-1x7Y/edit?usp=sharing"",""แผน!AA79"")"),7)</f>
        <v>7</v>
      </c>
      <c r="J184" s="168">
        <v>7</v>
      </c>
      <c r="K184" s="46">
        <f t="shared" ref="K184:K186" ca="1" si="130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89900</v>
      </c>
      <c r="M187" s="132">
        <f t="shared" ca="1" si="132"/>
        <v>89900</v>
      </c>
      <c r="N187" s="132">
        <f t="shared" ca="1" si="132"/>
        <v>79802.039999999994</v>
      </c>
      <c r="O187" s="132">
        <f t="shared" ref="O187:O195" ca="1" si="133">IF(L187&gt;0,N187*100/L187,0)</f>
        <v>88.767563959955496</v>
      </c>
      <c r="P187" s="132">
        <f t="shared" ref="P187:P195" ca="1" si="134">IF(M187&gt;0,N187*100/M187,0)</f>
        <v>88.767563959955496</v>
      </c>
      <c r="Q187" s="132">
        <f t="shared" ref="Q187:S187" ca="1" si="135">Q188+Q189</f>
        <v>0</v>
      </c>
      <c r="R187" s="132">
        <f t="shared" ca="1" si="135"/>
        <v>0</v>
      </c>
      <c r="S187" s="132">
        <f t="shared" ca="1" si="135"/>
        <v>0</v>
      </c>
      <c r="T187" s="132">
        <f t="shared" ref="T187:T195" ca="1" si="136">IF(Q187&gt;0,S187*100/Q187,0)</f>
        <v>0</v>
      </c>
      <c r="U187" s="132">
        <f t="shared" ref="U187:U195" ca="1" si="137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89900</v>
      </c>
      <c r="M189" s="46">
        <f t="shared" ca="1" si="138"/>
        <v>89900</v>
      </c>
      <c r="N189" s="46">
        <f t="shared" ca="1" si="138"/>
        <v>79802.039999999994</v>
      </c>
      <c r="O189" s="46">
        <f t="shared" ca="1" si="133"/>
        <v>88.767563959955496</v>
      </c>
      <c r="P189" s="46">
        <f t="shared" ca="1" si="134"/>
        <v>88.767563959955496</v>
      </c>
      <c r="Q189" s="46">
        <f t="shared" ca="1" si="139"/>
        <v>0</v>
      </c>
      <c r="R189" s="46">
        <f t="shared" ca="1" si="139"/>
        <v>0</v>
      </c>
      <c r="S189" s="46">
        <f t="shared" ca="1" si="139"/>
        <v>0</v>
      </c>
      <c r="T189" s="46">
        <f t="shared" ca="1" si="136"/>
        <v>0</v>
      </c>
      <c r="U189" s="46">
        <f t="shared" ca="1" si="137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89900</v>
      </c>
      <c r="M190" s="46">
        <f t="shared" ca="1" si="140"/>
        <v>89900</v>
      </c>
      <c r="N190" s="46">
        <f t="shared" ca="1" si="140"/>
        <v>79802.039999999994</v>
      </c>
      <c r="O190" s="46">
        <f t="shared" ca="1" si="133"/>
        <v>88.767563959955496</v>
      </c>
      <c r="P190" s="46">
        <f t="shared" ca="1" si="134"/>
        <v>88.767563959955496</v>
      </c>
      <c r="Q190" s="46">
        <f t="shared" ref="Q190:S190" ca="1" si="141">Q191+Q192</f>
        <v>0</v>
      </c>
      <c r="R190" s="46">
        <f t="shared" ca="1" si="141"/>
        <v>0</v>
      </c>
      <c r="S190" s="46">
        <f t="shared" ca="1" si="141"/>
        <v>0</v>
      </c>
      <c r="T190" s="46">
        <f t="shared" ca="1" si="136"/>
        <v>0</v>
      </c>
      <c r="U190" s="46">
        <f t="shared" ca="1" si="137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IFERROR(__xludf.DUMMYFUNCTION("IMPORTRANGE(""https://docs.google.com/spreadsheets/d/1-uDff_7J0KD5mKrp0Vvzr7lt3OU09vwQwhkpOPPYv2Y/edit?usp=sharing"",""งบพรบ!CU79"")"),89900)</f>
        <v>89900</v>
      </c>
      <c r="M192" s="46">
        <f ca="1">IFERROR(__xludf.DUMMYFUNCTION("IMPORTRANGE(""https://docs.google.com/spreadsheets/d/1-uDff_7J0KD5mKrp0Vvzr7lt3OU09vwQwhkpOPPYv2Y/edit?usp=sharing"",""งบพรบ!CZ79"")"),89900)</f>
        <v>89900</v>
      </c>
      <c r="N192" s="46">
        <f ca="1">IFERROR(__xludf.DUMMYFUNCTION("IMPORTRANGE(""https://docs.google.com/spreadsheets/d/1-uDff_7J0KD5mKrp0Vvzr7lt3OU09vwQwhkpOPPYv2Y/edit?usp=sharing"",""งบพรบ!DB79"")"),79802.04)</f>
        <v>79802.039999999994</v>
      </c>
      <c r="O192" s="46">
        <f t="shared" ca="1" si="133"/>
        <v>88.767563959955496</v>
      </c>
      <c r="P192" s="46">
        <f t="shared" ca="1" si="134"/>
        <v>88.767563959955496</v>
      </c>
      <c r="Q192" s="46">
        <f ca="1">IFERROR(__xludf.DUMMYFUNCTION("IMPORTRANGE(""https://docs.google.com/spreadsheets/d/1ItG2mGa2ceCfYo0BwxsXqNm01IGEUdYcSSLTEv9YCik/edit?usp=sharing"",""เบิกจ่ายกองทุน!AV79"")"),0)</f>
        <v>0</v>
      </c>
      <c r="R192" s="46">
        <f ca="1">IFERROR(__xludf.DUMMYFUNCTION("IMPORTRANGE(""https://docs.google.com/spreadsheets/d/1ItG2mGa2ceCfYo0BwxsXqNm01IGEUdYcSSLTEv9YCik/edit?usp=sharing"",""เบิกจ่ายกองทุน!AW79"")"),0)</f>
        <v>0</v>
      </c>
      <c r="S192" s="46">
        <f ca="1">IFERROR(__xludf.DUMMYFUNCTION("IMPORTRANGE(""https://docs.google.com/spreadsheets/d/1ItG2mGa2ceCfYo0BwxsXqNm01IGEUdYcSSLTEv9YCik/edit?usp=sharing"",""เบิกจ่ายกองทุน!AX79"")"),0)</f>
        <v>0</v>
      </c>
      <c r="T192" s="46">
        <f t="shared" ca="1" si="136"/>
        <v>0</v>
      </c>
      <c r="U192" s="46">
        <f t="shared" ca="1" si="137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IFERROR(__xludf.DUMMYFUNCTION("IMPORTRANGE(""https://docs.google.com/spreadsheets/d/1-uDff_7J0KD5mKrp0Vvzr7lt3OU09vwQwhkpOPPYv2Y/edit?usp=sharing"",""งบพรบ!CX79"")"),0)</f>
        <v>0</v>
      </c>
      <c r="M195" s="46">
        <f ca="1">IFERROR(__xludf.DUMMYFUNCTION("IMPORTRANGE(""https://docs.google.com/spreadsheets/d/1-uDff_7J0KD5mKrp0Vvzr7lt3OU09vwQwhkpOPPYv2Y/edit?usp=sharing"",""งบพรบ!DA79"")"),0)</f>
        <v>0</v>
      </c>
      <c r="N195" s="46">
        <f ca="1">IFERROR(__xludf.DUMMYFUNCTION("IMPORTRANGE(""https://docs.google.com/spreadsheets/d/1-uDff_7J0KD5mKrp0Vvzr7lt3OU09vwQwhkpOPPYv2Y/edit?usp=sharing"",""งบพรบ!DC79"")"),0)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IFERROR(__xludf.DUMMYFUNCTION("IMPORTRANGE(""https://docs.google.com/spreadsheets/d/1eHaY18a8A9IcSdp1K8H6x8fbOy06t2VsZHhMHf-1x7Y/edit?usp=sharing"",""แผน!AB79"")"),6000)</f>
        <v>6000</v>
      </c>
      <c r="M197" s="45"/>
      <c r="N197" s="564">
        <v>3000</v>
      </c>
      <c r="O197" s="132">
        <f ca="1">IF(L197&gt;0,N197*100/L197,0)</f>
        <v>50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IFERROR(__xludf.DUMMYFUNCTION("IMPORTRANGE(""https://docs.google.com/spreadsheets/d/1eHaY18a8A9IcSdp1K8H6x8fbOy06t2VsZHhMHf-1x7Y/edit?usp=sharing"",""แผน!AE79"")"),4)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162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162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hidden="1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0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hidden="1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hidden="1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IFERROR(__xludf.DUMMYFUNCTION("IMPORTRANGE(""https://docs.google.com/spreadsheets/d/1eHaY18a8A9IcSdp1K8H6x8fbOy06t2VsZHhMHf-1x7Y/edit?usp=sharing"",""แผน!AG79"")"),0)</f>
        <v>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hidden="1" x14ac:dyDescent="0.25">
      <c r="A206" s="224"/>
      <c r="B206" s="159"/>
      <c r="C206" s="199"/>
      <c r="D206" s="270" t="s">
        <v>87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IFERROR(__xludf.DUMMYFUNCTION("IMPORTRANGE(""https://docs.google.com/spreadsheets/d/1eHaY18a8A9IcSdp1K8H6x8fbOy06t2VsZHhMHf-1x7Y/edit?usp=sharing"",""แผน!AH79"")"),0)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hidden="1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IFERROR(__xludf.DUMMYFUNCTION("IMPORTRANGE(""https://docs.google.com/spreadsheets/d/1eHaY18a8A9IcSdp1K8H6x8fbOy06t2VsZHhMHf-1x7Y/edit?usp=sharing"",""แผน!AI79"")"),0)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hidden="1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IFERROR(__xludf.DUMMYFUNCTION("IMPORTRANGE(""https://docs.google.com/spreadsheets/d/1eHaY18a8A9IcSdp1K8H6x8fbOy06t2VsZHhMHf-1x7Y/edit?usp=sharing"",""แผน!AJ79"")"),0)</f>
        <v>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hidden="1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hidden="1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IFERROR(__xludf.DUMMYFUNCTION("IMPORTRANGE(""https://docs.google.com/spreadsheets/d/1eHaY18a8A9IcSdp1K8H6x8fbOy06t2VsZHhMHf-1x7Y/edit?usp=sharing"",""แผน!AK79"")"),0)</f>
        <v>0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hidden="1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hidden="1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hidden="1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IFERROR(__xludf.DUMMYFUNCTION("IMPORTRANGE(""https://docs.google.com/spreadsheets/d/1eHaY18a8A9IcSdp1K8H6x8fbOy06t2VsZHhMHf-1x7Y/edit?usp=sharing"",""แผน!AK79"")"),0)</f>
        <v>0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0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IFERROR(__xludf.DUMMYFUNCTION("IMPORTRANGE(""https://docs.google.com/spreadsheets/d/1eHaY18a8A9IcSdp1K8H6x8fbOy06t2VsZHhMHf-1x7Y/edit?usp=sharing"",""แผน!AM79"")"),0)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IFERROR(__xludf.DUMMYFUNCTION("IMPORTRANGE(""https://docs.google.com/spreadsheets/d/1eHaY18a8A9IcSdp1K8H6x8fbOy06t2VsZHhMHf-1x7Y/edit?usp=sharing"",""แผน!AN79"")"),0)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IFERROR(__xludf.DUMMYFUNCTION("IMPORTRANGE(""https://docs.google.com/spreadsheets/d/1eHaY18a8A9IcSdp1K8H6x8fbOy06t2VsZHhMHf-1x7Y/edit?usp=sharing"",""แผน!AO79"")"),0)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IFERROR(__xludf.DUMMYFUNCTION("IMPORTRANGE(""https://docs.google.com/spreadsheets/d/1eHaY18a8A9IcSdp1K8H6x8fbOy06t2VsZHhMHf-1x7Y/edit?usp=sharing"",""แผน!JX79"")"),0)</f>
        <v>0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IFERROR(__xludf.DUMMYFUNCTION("IMPORTRANGE(""https://docs.google.com/spreadsheets/d/1eHaY18a8A9IcSdp1K8H6x8fbOy06t2VsZHhMHf-1x7Y/edit?usp=sharing"",""แผน!JY79"")"),0)</f>
        <v>0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10000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IFERROR(__xludf.DUMMYFUNCTION("IMPORTRANGE(""https://docs.google.com/spreadsheets/d/1eHaY18a8A9IcSdp1K8H6x8fbOy06t2VsZHhMHf-1x7Y/edit?usp=sharing"",""แผน!AR79"")"),2500)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IFERROR(__xludf.DUMMYFUNCTION("IMPORTRANGE(""https://docs.google.com/spreadsheets/d/1eHaY18a8A9IcSdp1K8H6x8fbOy06t2VsZHhMHf-1x7Y/edit?usp=sharing"",""แผน!AS79"")"),2000)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IFERROR(__xludf.DUMMYFUNCTION("IMPORTRANGE(""https://docs.google.com/spreadsheets/d/1eHaY18a8A9IcSdp1K8H6x8fbOy06t2VsZHhMHf-1x7Y/edit?usp=sharing"",""แผน!AT79"")"),0)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IFERROR(__xludf.DUMMYFUNCTION("IMPORTRANGE(""https://docs.google.com/spreadsheets/d/1eHaY18a8A9IcSdp1K8H6x8fbOy06t2VsZHhMHf-1x7Y/edit?usp=sharing"",""แผน!AV79"")"),10000)</f>
        <v>10000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IFERROR(__xludf.DUMMYFUNCTION("IMPORTRANGE(""https://docs.google.com/spreadsheets/d/1eHaY18a8A9IcSdp1K8H6x8fbOy06t2VsZHhMHf-1x7Y/edit?usp=sharing"",""แผน!AU79"")"),0)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1">I243+I254</f>
        <v>0</v>
      </c>
      <c r="J232" s="573">
        <f t="shared" si="151"/>
        <v>0</v>
      </c>
      <c r="K232" s="574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4">I250+I261</f>
        <v>0</v>
      </c>
      <c r="J239" s="340">
        <f t="shared" si="154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5">I252+I263</f>
        <v>0</v>
      </c>
      <c r="J241" s="340">
        <f t="shared" si="155"/>
        <v>0</v>
      </c>
      <c r="K241" s="48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5"/>
        <v>0</v>
      </c>
      <c r="J242" s="340">
        <f t="shared" si="155"/>
        <v>0</v>
      </c>
      <c r="K242" s="48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IFERROR(__xludf.DUMMYFUNCTION("IMPORTRANGE(""https://docs.google.com/spreadsheets/d/1eHaY18a8A9IcSdp1K8H6x8fbOy06t2VsZHhMHf-1x7Y/edit?usp=sharing"",""แผน!AX79"")"),0)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IFERROR(__xludf.DUMMYFUNCTION("IMPORTRANGE(""https://docs.google.com/spreadsheets/d/1eHaY18a8A9IcSdp1K8H6x8fbOy06t2VsZHhMHf-1x7Y/edit?usp=sharing"",""แผน!AY79"")"),0)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IFERROR(__xludf.DUMMYFUNCTION("IMPORTRANGE(""https://docs.google.com/spreadsheets/d/1eHaY18a8A9IcSdp1K8H6x8fbOy06t2VsZHhMHf-1x7Y/edit?usp=sharing"",""แผน!AZ79"")"),0)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IFERROR(__xludf.DUMMYFUNCTION("IMPORTRANGE(""https://docs.google.com/spreadsheets/d/1eHaY18a8A9IcSdp1K8H6x8fbOy06t2VsZHhMHf-1x7Y/edit?usp=sharing"",""แผน!BA79"")"),0)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IFERROR(__xludf.DUMMYFUNCTION("IMPORTRANGE(""https://docs.google.com/spreadsheets/d/1eHaY18a8A9IcSdp1K8H6x8fbOy06t2VsZHhMHf-1x7Y/edit?usp=sharing"",""แผน!BG79"")"),0)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IFERROR(__xludf.DUMMYFUNCTION("IMPORTRANGE(""https://docs.google.com/spreadsheets/d/1eHaY18a8A9IcSdp1K8H6x8fbOy06t2VsZHhMHf-1x7Y/edit?usp=sharing"",""แผน!BB79"")"),0)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IFERROR(__xludf.DUMMYFUNCTION("IMPORTRANGE(""https://docs.google.com/spreadsheets/d/1eHaY18a8A9IcSdp1K8H6x8fbOy06t2VsZHhMHf-1x7Y/edit?usp=sharing"",""แผน!BC79"")"),0)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IFERROR(__xludf.DUMMYFUNCTION("IMPORTRANGE(""https://docs.google.com/spreadsheets/d/1eHaY18a8A9IcSdp1K8H6x8fbOy06t2VsZHhMHf-1x7Y/edit?usp=sharing"",""แผน!BD79"")"),0)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IFERROR(__xludf.DUMMYFUNCTION("IMPORTRANGE(""https://docs.google.com/spreadsheets/d/1eHaY18a8A9IcSdp1K8H6x8fbOy06t2VsZHhMHf-1x7Y/edit?usp=sharing"",""แผน!BE79"")"),0)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IFERROR(__xludf.DUMMYFUNCTION("IMPORTRANGE(""https://docs.google.com/spreadsheets/d/1eHaY18a8A9IcSdp1K8H6x8fbOy06t2VsZHhMHf-1x7Y/edit?usp=sharing"",""แผน!BH79"")"),0)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20</v>
      </c>
      <c r="J266" s="613">
        <f t="shared" si="161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2">L268+L269</f>
        <v>0</v>
      </c>
      <c r="M267" s="626">
        <f t="shared" ca="1" si="162"/>
        <v>5000</v>
      </c>
      <c r="N267" s="626">
        <f t="shared" ca="1" si="162"/>
        <v>0</v>
      </c>
      <c r="O267" s="626">
        <f t="shared" ref="O267:O275" ca="1" si="163">IF(L267&gt;0,N267*100/L267,0)</f>
        <v>0</v>
      </c>
      <c r="P267" s="626">
        <f t="shared" ref="P267:P275" ca="1" si="164">IF(M267&gt;0,N267*100/M267,0)</f>
        <v>0</v>
      </c>
      <c r="Q267" s="626">
        <f t="shared" ref="Q267:S267" ca="1" si="165">Q268+Q269</f>
        <v>47880</v>
      </c>
      <c r="R267" s="626">
        <f t="shared" ca="1" si="165"/>
        <v>47880</v>
      </c>
      <c r="S267" s="626">
        <f t="shared" ca="1" si="165"/>
        <v>0</v>
      </c>
      <c r="T267" s="626">
        <f t="shared" ref="T267:T275" ca="1" si="166">IF(Q267&gt;0,S267*100/Q267,0)</f>
        <v>0</v>
      </c>
      <c r="U267" s="626">
        <f t="shared" ref="U267:U275" ca="1" si="167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8"/>
        <v>0</v>
      </c>
      <c r="M269" s="630">
        <f t="shared" ca="1" si="168"/>
        <v>5000</v>
      </c>
      <c r="N269" s="630">
        <f t="shared" ca="1" si="168"/>
        <v>0</v>
      </c>
      <c r="O269" s="630">
        <f t="shared" ca="1" si="163"/>
        <v>0</v>
      </c>
      <c r="P269" s="630">
        <f t="shared" ca="1" si="164"/>
        <v>0</v>
      </c>
      <c r="Q269" s="630">
        <f t="shared" ca="1" si="169"/>
        <v>47880</v>
      </c>
      <c r="R269" s="630">
        <f t="shared" ca="1" si="169"/>
        <v>47880</v>
      </c>
      <c r="S269" s="630">
        <f t="shared" ca="1" si="169"/>
        <v>0</v>
      </c>
      <c r="T269" s="630">
        <f t="shared" ca="1" si="166"/>
        <v>0</v>
      </c>
      <c r="U269" s="630">
        <f t="shared" ca="1" si="167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70">L271+L272</f>
        <v>0</v>
      </c>
      <c r="M270" s="630">
        <f t="shared" ca="1" si="170"/>
        <v>5000</v>
      </c>
      <c r="N270" s="630">
        <f t="shared" ca="1" si="170"/>
        <v>0</v>
      </c>
      <c r="O270" s="630">
        <f t="shared" ca="1" si="163"/>
        <v>0</v>
      </c>
      <c r="P270" s="630">
        <f t="shared" ca="1" si="164"/>
        <v>0</v>
      </c>
      <c r="Q270" s="630">
        <f t="shared" ref="Q270:S270" ca="1" si="171">Q271+Q272</f>
        <v>47880</v>
      </c>
      <c r="R270" s="630">
        <f t="shared" ca="1" si="171"/>
        <v>47880</v>
      </c>
      <c r="S270" s="630">
        <f t="shared" ca="1" si="171"/>
        <v>0</v>
      </c>
      <c r="T270" s="630">
        <f t="shared" ca="1" si="166"/>
        <v>0</v>
      </c>
      <c r="U270" s="630">
        <f t="shared" ca="1" si="167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IFERROR(__xludf.DUMMYFUNCTION("IMPORTRANGE(""https://docs.google.com/spreadsheets/d/1-uDff_7J0KD5mKrp0Vvzr7lt3OU09vwQwhkpOPPYv2Y/edit?usp=sharing"",""งบพรบ!DE79"")"),0)</f>
        <v>0</v>
      </c>
      <c r="M272" s="630">
        <f ca="1">IFERROR(__xludf.DUMMYFUNCTION("IMPORTRANGE(""https://docs.google.com/spreadsheets/d/1-uDff_7J0KD5mKrp0Vvzr7lt3OU09vwQwhkpOPPYv2Y/edit?usp=sharing"",""งบพรบ!DJ79"")"),5000)</f>
        <v>5000</v>
      </c>
      <c r="N272" s="630">
        <f ca="1">IFERROR(__xludf.DUMMYFUNCTION("IMPORTRANGE(""https://docs.google.com/spreadsheets/d/1-uDff_7J0KD5mKrp0Vvzr7lt3OU09vwQwhkpOPPYv2Y/edit?usp=sharing"",""งบพรบ!DL79"")"),0)</f>
        <v>0</v>
      </c>
      <c r="O272" s="630">
        <f t="shared" ca="1" si="163"/>
        <v>0</v>
      </c>
      <c r="P272" s="630">
        <f t="shared" ca="1" si="164"/>
        <v>0</v>
      </c>
      <c r="Q272" s="630">
        <f ca="1">IFERROR(__xludf.DUMMYFUNCTION("IMPORTRANGE(""https://docs.google.com/spreadsheets/d/1ItG2mGa2ceCfYo0BwxsXqNm01IGEUdYcSSLTEv9YCik/edit?usp=sharing"",""เบิกจ่ายกองทุน!AJ79"")"),47880)</f>
        <v>47880</v>
      </c>
      <c r="R272" s="630">
        <f ca="1">IFERROR(__xludf.DUMMYFUNCTION("IMPORTRANGE(""https://docs.google.com/spreadsheets/d/1ItG2mGa2ceCfYo0BwxsXqNm01IGEUdYcSSLTEv9YCik/edit?usp=sharing"",""เบิกจ่ายกองทุน!AK79"")"),47880)</f>
        <v>47880</v>
      </c>
      <c r="S272" s="630">
        <f ca="1">IFERROR(__xludf.DUMMYFUNCTION("IMPORTRANGE(""https://docs.google.com/spreadsheets/d/1ItG2mGa2ceCfYo0BwxsXqNm01IGEUdYcSSLTEv9YCik/edit?usp=sharing"",""เบิกจ่ายกองทุน!AL79"")"),0)</f>
        <v>0</v>
      </c>
      <c r="T272" s="630">
        <f t="shared" ca="1" si="166"/>
        <v>0</v>
      </c>
      <c r="U272" s="630">
        <f t="shared" ca="1" si="167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2">L274+L275</f>
        <v>0</v>
      </c>
      <c r="M273" s="630">
        <f t="shared" ca="1" si="172"/>
        <v>0</v>
      </c>
      <c r="N273" s="630">
        <f t="shared" ca="1" si="172"/>
        <v>0</v>
      </c>
      <c r="O273" s="630">
        <f t="shared" ca="1" si="163"/>
        <v>0</v>
      </c>
      <c r="P273" s="630">
        <f t="shared" ca="1" si="164"/>
        <v>0</v>
      </c>
      <c r="Q273" s="630">
        <f t="shared" ref="Q273:S273" si="173">Q274+Q275</f>
        <v>0</v>
      </c>
      <c r="R273" s="630">
        <f t="shared" si="173"/>
        <v>0</v>
      </c>
      <c r="S273" s="630">
        <f t="shared" si="173"/>
        <v>0</v>
      </c>
      <c r="T273" s="630">
        <f t="shared" si="166"/>
        <v>0</v>
      </c>
      <c r="U273" s="630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IFERROR(__xludf.DUMMYFUNCTION("IMPORTRANGE(""https://docs.google.com/spreadsheets/d/1-uDff_7J0KD5mKrp0Vvzr7lt3OU09vwQwhkpOPPYv2Y/edit?usp=sharing"",""งบพรบ!DH79"")"),0)</f>
        <v>0</v>
      </c>
      <c r="M275" s="630">
        <f ca="1">IFERROR(__xludf.DUMMYFUNCTION("IMPORTRANGE(""https://docs.google.com/spreadsheets/d/1-uDff_7J0KD5mKrp0Vvzr7lt3OU09vwQwhkpOPPYv2Y/edit?usp=sharing"",""งบพรบ!DK79"")"),0)</f>
        <v>0</v>
      </c>
      <c r="N275" s="630">
        <f ca="1">IFERROR(__xludf.DUMMYFUNCTION("IMPORTRANGE(""https://docs.google.com/spreadsheets/d/1-uDff_7J0KD5mKrp0Vvzr7lt3OU09vwQwhkpOPPYv2Y/edit?usp=sharing"",""งบพรบ!DM79"")"),0)</f>
        <v>0</v>
      </c>
      <c r="O275" s="630">
        <f t="shared" ca="1" si="163"/>
        <v>0</v>
      </c>
      <c r="P275" s="630">
        <f t="shared" ca="1" si="164"/>
        <v>0</v>
      </c>
      <c r="Q275" s="630">
        <v>0</v>
      </c>
      <c r="R275" s="630">
        <v>0</v>
      </c>
      <c r="S275" s="630">
        <v>0</v>
      </c>
      <c r="T275" s="630">
        <f t="shared" si="166"/>
        <v>0</v>
      </c>
      <c r="U275" s="630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IFERROR(__xludf.DUMMYFUNCTION("IMPORTRANGE(""https://docs.google.com/spreadsheets/d/1eHaY18a8A9IcSdp1K8H6x8fbOy06t2VsZHhMHf-1x7Y/edit?usp=sharing"",""แผน!EC79"")"),20)</f>
        <v>20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0</v>
      </c>
      <c r="J281" s="298">
        <f t="shared" si="174"/>
        <v>0</v>
      </c>
      <c r="K281" s="299">
        <f t="shared" ref="K281:K282" ca="1" si="175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0</v>
      </c>
      <c r="J282" s="298">
        <f t="shared" si="176"/>
        <v>0</v>
      </c>
      <c r="K282" s="299">
        <f t="shared" ca="1" si="175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0</v>
      </c>
      <c r="M283" s="132">
        <f t="shared" ca="1" si="177"/>
        <v>0</v>
      </c>
      <c r="N283" s="132">
        <f t="shared" ca="1" si="177"/>
        <v>0</v>
      </c>
      <c r="O283" s="132">
        <f t="shared" ref="O283:O291" ca="1" si="178">IF(L283&gt;0,N283*100/L283,0)</f>
        <v>0</v>
      </c>
      <c r="P283" s="132">
        <f t="shared" ref="P283:P291" ca="1" si="179">IF(M283&gt;0,N283*100/M283,0)</f>
        <v>0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0</v>
      </c>
      <c r="M285" s="46">
        <f t="shared" ca="1" si="183"/>
        <v>0</v>
      </c>
      <c r="N285" s="46">
        <f t="shared" ca="1" si="183"/>
        <v>0</v>
      </c>
      <c r="O285" s="46">
        <f t="shared" ca="1" si="178"/>
        <v>0</v>
      </c>
      <c r="P285" s="46">
        <f t="shared" ca="1" si="179"/>
        <v>0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0</v>
      </c>
      <c r="M286" s="46">
        <f t="shared" ca="1" si="185"/>
        <v>0</v>
      </c>
      <c r="N286" s="46">
        <f t="shared" ca="1" si="185"/>
        <v>0</v>
      </c>
      <c r="O286" s="46">
        <f t="shared" ca="1" si="178"/>
        <v>0</v>
      </c>
      <c r="P286" s="46">
        <f t="shared" ca="1" si="179"/>
        <v>0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IFERROR(__xludf.DUMMYFUNCTION("IMPORTRANGE(""https://docs.google.com/spreadsheets/d/1-uDff_7J0KD5mKrp0Vvzr7lt3OU09vwQwhkpOPPYv2Y/edit?usp=sharing"",""งบพรบ!DO79"")"),0)</f>
        <v>0</v>
      </c>
      <c r="M288" s="46">
        <f ca="1">IFERROR(__xludf.DUMMYFUNCTION("IMPORTRANGE(""https://docs.google.com/spreadsheets/d/1-uDff_7J0KD5mKrp0Vvzr7lt3OU09vwQwhkpOPPYv2Y/edit?usp=sharing"",""งบพรบ!DT79"")"),0)</f>
        <v>0</v>
      </c>
      <c r="N288" s="46">
        <f ca="1">IFERROR(__xludf.DUMMYFUNCTION("IMPORTRANGE(""https://docs.google.com/spreadsheets/d/1-uDff_7J0KD5mKrp0Vvzr7lt3OU09vwQwhkpOPPYv2Y/edit?usp=sharing"",""งบพรบ!DV79"")"),0)</f>
        <v>0</v>
      </c>
      <c r="O288" s="46">
        <f t="shared" ca="1" si="178"/>
        <v>0</v>
      </c>
      <c r="P288" s="46">
        <f t="shared" ca="1" si="179"/>
        <v>0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IFERROR(__xludf.DUMMYFUNCTION("IMPORTRANGE(""https://docs.google.com/spreadsheets/d/1-uDff_7J0KD5mKrp0Vvzr7lt3OU09vwQwhkpOPPYv2Y/edit?usp=sharing"",""งบพรบ!DR79"")"),0)</f>
        <v>0</v>
      </c>
      <c r="M291" s="46">
        <f ca="1">IFERROR(__xludf.DUMMYFUNCTION("IMPORTRANGE(""https://docs.google.com/spreadsheets/d/1-uDff_7J0KD5mKrp0Vvzr7lt3OU09vwQwhkpOPPYv2Y/edit?usp=sharing"",""งบพรบ!DU79"")"),0)</f>
        <v>0</v>
      </c>
      <c r="N291" s="46">
        <f ca="1">IFERROR(__xludf.DUMMYFUNCTION("IMPORTRANGE(""https://docs.google.com/spreadsheets/d/1-uDff_7J0KD5mKrp0Vvzr7lt3OU09vwQwhkpOPPYv2Y/edit?usp=sharing"",""งบพรบ!DW79"")"),0)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IFERROR(__xludf.DUMMYFUNCTION("IMPORTRANGE(""https://docs.google.com/spreadsheets/d/1eHaY18a8A9IcSdp1K8H6x8fbOy06t2VsZHhMHf-1x7Y/edit?usp=sharing"",""แผน!EE79"")"),0)</f>
        <v>0</v>
      </c>
      <c r="J293" s="168">
        <v>0</v>
      </c>
      <c r="K293" s="153">
        <f t="shared" ref="K293:K294" ca="1" si="189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IFERROR(__xludf.DUMMYFUNCTION("IMPORTRANGE(""https://docs.google.com/spreadsheets/d/1eHaY18a8A9IcSdp1K8H6x8fbOy06t2VsZHhMHf-1x7Y/edit?usp=sharing"",""แผน!ED79"")"),0)</f>
        <v>0</v>
      </c>
      <c r="J294" s="147">
        <f>J297</f>
        <v>0</v>
      </c>
      <c r="K294" s="148">
        <f t="shared" ca="1" si="189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8">
        <v>0</v>
      </c>
      <c r="K296" s="153">
        <f t="shared" ref="K296:K297" ca="1" si="190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IFERROR(__xludf.DUMMYFUNCTION("IMPORTRANGE(""https://docs.google.com/spreadsheets/d/1eHaY18a8A9IcSdp1K8H6x8fbOy06t2VsZHhMHf-1x7Y/edit?usp=sharing"",""แผน!ED79"")"),0)</f>
        <v>0</v>
      </c>
      <c r="J297" s="168">
        <v>0</v>
      </c>
      <c r="K297" s="153">
        <f t="shared" ca="1" si="190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hidden="1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hidden="1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0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hidden="1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0</v>
      </c>
      <c r="M304" s="132">
        <f t="shared" ca="1" si="192"/>
        <v>0</v>
      </c>
      <c r="N304" s="132">
        <f t="shared" ca="1" si="192"/>
        <v>0</v>
      </c>
      <c r="O304" s="132">
        <f t="shared" ref="O304:O312" ca="1" si="193">IF(L304&gt;0,N304*100/L304,0)</f>
        <v>0</v>
      </c>
      <c r="P304" s="132">
        <f t="shared" ref="P304:P312" ca="1" si="194">IF(M304&gt;0,N304*100/M304,0)</f>
        <v>0</v>
      </c>
      <c r="Q304" s="132">
        <f t="shared" ref="Q304:S304" ca="1" si="195">Q305+Q306</f>
        <v>0</v>
      </c>
      <c r="R304" s="132">
        <f t="shared" ca="1" si="195"/>
        <v>0</v>
      </c>
      <c r="S304" s="132">
        <f t="shared" ca="1" si="195"/>
        <v>0</v>
      </c>
      <c r="T304" s="132">
        <f t="shared" ref="T304:T312" ca="1" si="196">IF(Q304&gt;0,S304*100/Q304,0)</f>
        <v>0</v>
      </c>
      <c r="U304" s="132">
        <f t="shared" ref="U304:U312" ca="1" si="197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0</v>
      </c>
      <c r="M306" s="46">
        <f t="shared" ca="1" si="198"/>
        <v>0</v>
      </c>
      <c r="N306" s="46">
        <f t="shared" ca="1" si="198"/>
        <v>0</v>
      </c>
      <c r="O306" s="46">
        <f t="shared" ca="1" si="193"/>
        <v>0</v>
      </c>
      <c r="P306" s="46">
        <f t="shared" ca="1" si="194"/>
        <v>0</v>
      </c>
      <c r="Q306" s="46">
        <f t="shared" ca="1" si="199"/>
        <v>0</v>
      </c>
      <c r="R306" s="46">
        <f t="shared" ca="1" si="199"/>
        <v>0</v>
      </c>
      <c r="S306" s="46">
        <f t="shared" ca="1" si="199"/>
        <v>0</v>
      </c>
      <c r="T306" s="46">
        <f t="shared" ca="1" si="196"/>
        <v>0</v>
      </c>
      <c r="U306" s="46">
        <f t="shared" ca="1" si="197"/>
        <v>0</v>
      </c>
    </row>
    <row r="307" spans="1:21" ht="18.75" hidden="1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0</v>
      </c>
      <c r="M307" s="46">
        <f t="shared" ca="1" si="200"/>
        <v>0</v>
      </c>
      <c r="N307" s="46">
        <f t="shared" ca="1" si="200"/>
        <v>0</v>
      </c>
      <c r="O307" s="46">
        <f t="shared" ca="1" si="193"/>
        <v>0</v>
      </c>
      <c r="P307" s="46">
        <f t="shared" ca="1" si="194"/>
        <v>0</v>
      </c>
      <c r="Q307" s="46">
        <f t="shared" ref="Q307:S307" ca="1" si="201">Q308+Q309</f>
        <v>0</v>
      </c>
      <c r="R307" s="46">
        <f t="shared" ca="1" si="201"/>
        <v>0</v>
      </c>
      <c r="S307" s="46">
        <f t="shared" ca="1" si="201"/>
        <v>0</v>
      </c>
      <c r="T307" s="46">
        <f t="shared" ca="1" si="196"/>
        <v>0</v>
      </c>
      <c r="U307" s="46">
        <f t="shared" ca="1" si="197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IFERROR(__xludf.DUMMYFUNCTION("IMPORTRANGE(""https://docs.google.com/spreadsheets/d/1-uDff_7J0KD5mKrp0Vvzr7lt3OU09vwQwhkpOPPYv2Y/edit?usp=sharing"",""งบพรบ!DY79"")"),0)</f>
        <v>0</v>
      </c>
      <c r="M309" s="46">
        <f ca="1">IFERROR(__xludf.DUMMYFUNCTION("IMPORTRANGE(""https://docs.google.com/spreadsheets/d/1-uDff_7J0KD5mKrp0Vvzr7lt3OU09vwQwhkpOPPYv2Y/edit?usp=sharing"",""งบพรบ!ED79"")"),0)</f>
        <v>0</v>
      </c>
      <c r="N309" s="46">
        <f ca="1">IFERROR(__xludf.DUMMYFUNCTION("IMPORTRANGE(""https://docs.google.com/spreadsheets/d/1-uDff_7J0KD5mKrp0Vvzr7lt3OU09vwQwhkpOPPYv2Y/edit?usp=sharing"",""งบพรบ!EF79"")"),0)</f>
        <v>0</v>
      </c>
      <c r="O309" s="46">
        <f t="shared" ca="1" si="193"/>
        <v>0</v>
      </c>
      <c r="P309" s="46">
        <f t="shared" ca="1" si="194"/>
        <v>0</v>
      </c>
      <c r="Q309" s="46">
        <f ca="1">IFERROR(__xludf.DUMMYFUNCTION("IMPORTRANGE(""https://docs.google.com/spreadsheets/d/1ItG2mGa2ceCfYo0BwxsXqNm01IGEUdYcSSLTEv9YCik/edit?usp=sharing"",""เบิกจ่ายกองทุน!AP79"")"),0)</f>
        <v>0</v>
      </c>
      <c r="R309" s="46">
        <f ca="1">IFERROR(__xludf.DUMMYFUNCTION("IMPORTRANGE(""https://docs.google.com/spreadsheets/d/1ItG2mGa2ceCfYo0BwxsXqNm01IGEUdYcSSLTEv9YCik/edit?usp=sharing"",""เบิกจ่ายกองทุน!AQ79"")"),0)</f>
        <v>0</v>
      </c>
      <c r="S309" s="46">
        <f ca="1">IFERROR(__xludf.DUMMYFUNCTION("IMPORTRANGE(""https://docs.google.com/spreadsheets/d/1ItG2mGa2ceCfYo0BwxsXqNm01IGEUdYcSSLTEv9YCik/edit?usp=sharing"",""เบิกจ่ายกองทุน!AR79"")"),0)</f>
        <v>0</v>
      </c>
      <c r="T309" s="46">
        <f t="shared" ca="1" si="196"/>
        <v>0</v>
      </c>
      <c r="U309" s="46">
        <f t="shared" ca="1" si="197"/>
        <v>0</v>
      </c>
    </row>
    <row r="310" spans="1:21" ht="18.75" hidden="1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IFERROR(__xludf.DUMMYFUNCTION("IMPORTRANGE(""https://docs.google.com/spreadsheets/d/1-uDff_7J0KD5mKrp0Vvzr7lt3OU09vwQwhkpOPPYv2Y/edit?usp=sharing"",""งบพรบ!EB79"")"),0)</f>
        <v>0</v>
      </c>
      <c r="M312" s="46">
        <f ca="1">IFERROR(__xludf.DUMMYFUNCTION("IMPORTRANGE(""https://docs.google.com/spreadsheets/d/1-uDff_7J0KD5mKrp0Vvzr7lt3OU09vwQwhkpOPPYv2Y/edit?usp=sharing"",""งบพรบ!EE79"")"),0)</f>
        <v>0</v>
      </c>
      <c r="N312" s="46">
        <f ca="1">IFERROR(__xludf.DUMMYFUNCTION("IMPORTRANGE(""https://docs.google.com/spreadsheets/d/1-uDff_7J0KD5mKrp0Vvzr7lt3OU09vwQwhkpOPPYv2Y/edit?usp=sharing"",""งบพรบ!EG79"")"),0)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hidden="1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hidden="1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IFERROR(__xludf.DUMMYFUNCTION("IMPORTRANGE(""https://docs.google.com/spreadsheets/d/1eHaY18a8A9IcSdp1K8H6x8fbOy06t2VsZHhMHf-1x7Y/edit?usp=sharing"",""แผน!EF79"")"),0)</f>
        <v>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0</v>
      </c>
      <c r="J320" s="321">
        <f t="shared" si="204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0</v>
      </c>
      <c r="M321" s="132">
        <f t="shared" ca="1" si="205"/>
        <v>0</v>
      </c>
      <c r="N321" s="132">
        <f t="shared" ca="1" si="205"/>
        <v>0</v>
      </c>
      <c r="O321" s="132">
        <f t="shared" ref="O321:O329" ca="1" si="206">IF(L321&gt;0,N321*100/L321,0)</f>
        <v>0</v>
      </c>
      <c r="P321" s="132">
        <f t="shared" ref="P321:P329" ca="1" si="207">IF(M321&gt;0,N321*100/M321,0)</f>
        <v>0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0</v>
      </c>
      <c r="M323" s="46">
        <f t="shared" ca="1" si="211"/>
        <v>0</v>
      </c>
      <c r="N323" s="46">
        <f t="shared" ca="1" si="211"/>
        <v>0</v>
      </c>
      <c r="O323" s="46">
        <f t="shared" ca="1" si="206"/>
        <v>0</v>
      </c>
      <c r="P323" s="46">
        <f t="shared" ca="1" si="207"/>
        <v>0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0</v>
      </c>
      <c r="M324" s="46">
        <f t="shared" ca="1" si="213"/>
        <v>0</v>
      </c>
      <c r="N324" s="46">
        <f t="shared" ca="1" si="213"/>
        <v>0</v>
      </c>
      <c r="O324" s="46">
        <f t="shared" ca="1" si="206"/>
        <v>0</v>
      </c>
      <c r="P324" s="46">
        <f t="shared" ca="1" si="207"/>
        <v>0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IFERROR(__xludf.DUMMYFUNCTION("IMPORTRANGE(""https://docs.google.com/spreadsheets/d/1-uDff_7J0KD5mKrp0Vvzr7lt3OU09vwQwhkpOPPYv2Y/edit?usp=sharing"",""งบพรบ!EI79"")"),0)</f>
        <v>0</v>
      </c>
      <c r="M326" s="46">
        <f ca="1">IFERROR(__xludf.DUMMYFUNCTION("IMPORTRANGE(""https://docs.google.com/spreadsheets/d/1-uDff_7J0KD5mKrp0Vvzr7lt3OU09vwQwhkpOPPYv2Y/edit?usp=sharing"",""งบพรบ!EN79"")"),0)</f>
        <v>0</v>
      </c>
      <c r="N326" s="46">
        <f ca="1">IFERROR(__xludf.DUMMYFUNCTION("IMPORTRANGE(""https://docs.google.com/spreadsheets/d/1-uDff_7J0KD5mKrp0Vvzr7lt3OU09vwQwhkpOPPYv2Y/edit?usp=sharing"",""งบพรบ!EP79"")"),0)</f>
        <v>0</v>
      </c>
      <c r="O326" s="46">
        <f t="shared" ca="1" si="206"/>
        <v>0</v>
      </c>
      <c r="P326" s="46">
        <f t="shared" ca="1" si="207"/>
        <v>0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IFERROR(__xludf.DUMMYFUNCTION("IMPORTRANGE(""https://docs.google.com/spreadsheets/d/1-uDff_7J0KD5mKrp0Vvzr7lt3OU09vwQwhkpOPPYv2Y/edit?usp=sharing"",""งบพรบ!EL79"")"),0)</f>
        <v>0</v>
      </c>
      <c r="M329" s="46">
        <f ca="1">IFERROR(__xludf.DUMMYFUNCTION("IMPORTRANGE(""https://docs.google.com/spreadsheets/d/1-uDff_7J0KD5mKrp0Vvzr7lt3OU09vwQwhkpOPPYv2Y/edit?usp=sharing"",""งบพรบ!EO79"")"),0)</f>
        <v>0</v>
      </c>
      <c r="N329" s="46">
        <f ca="1">IFERROR(__xludf.DUMMYFUNCTION("IMPORTRANGE(""https://docs.google.com/spreadsheets/d/1-uDff_7J0KD5mKrp0Vvzr7lt3OU09vwQwhkpOPPYv2Y/edit?usp=sharing"",""งบพรบ!EQ79"")"),0)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IFERROR(__xludf.DUMMYFUNCTION("IMPORTRANGE(""https://docs.google.com/spreadsheets/d/1eHaY18a8A9IcSdp1K8H6x8fbOy06t2VsZHhMHf-1x7Y/edit?usp=sharing"",""แผน!EJ79"")"),0)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200</v>
      </c>
      <c r="J333" s="665">
        <f ca="1">J345+J348+J349+J350+J354+J355</f>
        <v>516</v>
      </c>
      <c r="K333" s="666">
        <f ca="1">IF(I333&gt;0,J333*100/I333,0)</f>
        <v>258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165500</v>
      </c>
      <c r="M334" s="132">
        <f t="shared" ca="1" si="217"/>
        <v>170500</v>
      </c>
      <c r="N334" s="132">
        <f t="shared" ca="1" si="217"/>
        <v>105778</v>
      </c>
      <c r="O334" s="132">
        <f t="shared" ref="O334:O342" ca="1" si="218">IF(L334&gt;0,N334*100/L334,0)</f>
        <v>63.914199395770396</v>
      </c>
      <c r="P334" s="132">
        <f t="shared" ref="P334:P342" ca="1" si="219">IF(M334&gt;0,N334*100/M334,0)</f>
        <v>62.039882697947213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165500</v>
      </c>
      <c r="M336" s="46">
        <f t="shared" ca="1" si="223"/>
        <v>170500</v>
      </c>
      <c r="N336" s="46">
        <f t="shared" ca="1" si="223"/>
        <v>105778</v>
      </c>
      <c r="O336" s="46">
        <f t="shared" ca="1" si="218"/>
        <v>63.914199395770396</v>
      </c>
      <c r="P336" s="46">
        <f t="shared" ca="1" si="219"/>
        <v>62.039882697947213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165500</v>
      </c>
      <c r="M337" s="46">
        <f t="shared" ca="1" si="225"/>
        <v>170500</v>
      </c>
      <c r="N337" s="46">
        <f t="shared" ca="1" si="225"/>
        <v>105778</v>
      </c>
      <c r="O337" s="46">
        <f t="shared" ca="1" si="218"/>
        <v>63.914199395770396</v>
      </c>
      <c r="P337" s="46">
        <f t="shared" ca="1" si="219"/>
        <v>62.039882697947213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IFERROR(__xludf.DUMMYFUNCTION("IMPORTRANGE(""https://docs.google.com/spreadsheets/d/1-uDff_7J0KD5mKrp0Vvzr7lt3OU09vwQwhkpOPPYv2Y/edit?usp=sharing"",""งบพรบ!ES79"")"),165500)</f>
        <v>165500</v>
      </c>
      <c r="M339" s="46">
        <f ca="1">IFERROR(__xludf.DUMMYFUNCTION("IMPORTRANGE(""https://docs.google.com/spreadsheets/d/1-uDff_7J0KD5mKrp0Vvzr7lt3OU09vwQwhkpOPPYv2Y/edit?usp=sharing"",""งบพรบ!EX79"")"),170500)</f>
        <v>170500</v>
      </c>
      <c r="N339" s="46">
        <f ca="1">IFERROR(__xludf.DUMMYFUNCTION("IMPORTRANGE(""https://docs.google.com/spreadsheets/d/1-uDff_7J0KD5mKrp0Vvzr7lt3OU09vwQwhkpOPPYv2Y/edit?usp=sharing"",""งบพรบ!EZ79"")"),105778)</f>
        <v>105778</v>
      </c>
      <c r="O339" s="46">
        <f t="shared" ca="1" si="218"/>
        <v>63.914199395770396</v>
      </c>
      <c r="P339" s="46">
        <f t="shared" ca="1" si="219"/>
        <v>62.039882697947213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IFERROR(__xludf.DUMMYFUNCTION("IMPORTRANGE(""https://docs.google.com/spreadsheets/d/1-uDff_7J0KD5mKrp0Vvzr7lt3OU09vwQwhkpOPPYv2Y/edit?usp=sharing"",""งบพรบ!EV79"")"),0)</f>
        <v>0</v>
      </c>
      <c r="M342" s="46">
        <f ca="1">IFERROR(__xludf.DUMMYFUNCTION("IMPORTRANGE(""https://docs.google.com/spreadsheets/d/1-uDff_7J0KD5mKrp0Vvzr7lt3OU09vwQwhkpOPPYv2Y/edit?usp=sharing"",""งบพรบ!EY79"")"),0)</f>
        <v>0</v>
      </c>
      <c r="N342" s="46">
        <f ca="1">IFERROR(__xludf.DUMMYFUNCTION("IMPORTRANGE(""https://docs.google.com/spreadsheets/d/1-uDff_7J0KD5mKrp0Vvzr7lt3OU09vwQwhkpOPPYv2Y/edit?usp=sharing"",""งบพรบ!FA79"")"),0)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309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IFERROR(__xludf.DUMMYFUNCTION("IMPORTRANGE(""https://docs.google.com/spreadsheets/d/1eHaY18a8A9IcSdp1K8H6x8fbOy06t2VsZHhMHf-1x7Y/edit?usp=sharing"",""แผน!EK79"")"),200)</f>
        <v>200</v>
      </c>
      <c r="J345" s="152">
        <f ca="1">IFERROR(__xludf.DUMMYFUNCTION("IMPORTRANGE(""https://docs.google.com/spreadsheets/d/1awYsYK3VOup2i3Pq_Yjnu8DRu_mYwSBnCR2QPthd0rU/edit?usp=sharing"",""ศูนย์ยกเว้นโฉนด!D79"")"),199)</f>
        <v>199</v>
      </c>
      <c r="K345" s="46">
        <f ca="1">IF(I345&gt;0,J345*100/I345,0)</f>
        <v>99.5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IFERROR(__xludf.DUMMYFUNCTION("IMPORTRANGE(""https://docs.google.com/spreadsheets/d/1eHaY18a8A9IcSdp1K8H6x8fbOy06t2VsZHhMHf-1x7Y/edit?usp=sharing"",""แผน!EL79"")"),1)</f>
        <v>1</v>
      </c>
      <c r="J347" s="152">
        <f ca="1">IFERROR(__xludf.DUMMYFUNCTION("IMPORTRANGE(""https://docs.google.com/spreadsheets/d/1awYsYK3VOup2i3Pq_Yjnu8DRu_mYwSBnCR2QPthd0rU/edit?usp=sharing"",""ศูนย์รวม!E79"")"),1)</f>
        <v>1</v>
      </c>
      <c r="K347" s="46">
        <f ca="1">IF(I347&gt;0,J347*100/I347,0)</f>
        <v>100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IFERROR(__xludf.DUMMYFUNCTION("IMPORTRANGE(""https://docs.google.com/spreadsheets/d/1awYsYK3VOup2i3Pq_Yjnu8DRu_mYwSBnCR2QPthd0rU/edit?usp=sharing"",""ศูนย์ยกเว้นโฉนด!F79"")"),106)</f>
        <v>106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IFERROR(__xludf.DUMMYFUNCTION("IMPORTRANGE(""https://docs.google.com/spreadsheets/d/1awYsYK3VOup2i3Pq_Yjnu8DRu_mYwSBnCR2QPthd0rU/edit?usp=sharing"",""ศูนย์ยกเว้นโฉนด!G79"")"),4)</f>
        <v>4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J353+J354+J355</f>
        <v>207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IFERROR(__xludf.DUMMYFUNCTION("IMPORTRANGE(""https://docs.google.com/spreadsheets/d/1awYsYK3VOup2i3Pq_Yjnu8DRu_mYwSBnCR2QPthd0rU/edit?usp=sharing"",""โฉนดM3!G79"")"),0)</f>
        <v>0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IFERROR(__xludf.DUMMYFUNCTION("IMPORTRANGE(""https://docs.google.com/spreadsheets/d/1awYsYK3VOup2i3Pq_Yjnu8DRu_mYwSBnCR2QPthd0rU/edit?usp=sharing"",""โฉนดM3!H79"")"),104)</f>
        <v>104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8.75" x14ac:dyDescent="0.25">
      <c r="A355" s="159"/>
      <c r="B355" s="199"/>
      <c r="C355" s="159"/>
      <c r="D355" s="329"/>
      <c r="E355" s="167" t="s">
        <v>317</v>
      </c>
      <c r="F355" s="199"/>
      <c r="G355" s="42"/>
      <c r="H355" s="133" t="s">
        <v>35</v>
      </c>
      <c r="I355" s="44"/>
      <c r="J355" s="791">
        <f ca="1">IFERROR(__xludf.DUMMYFUNCTION("IMPORTRANGE(""https://docs.google.com/spreadsheets/d/1awYsYK3VOup2i3Pq_Yjnu8DRu_mYwSBnCR2QPthd0rU/edit?usp=sharing"",""โฉนดM3!I79"")"),103)</f>
        <v>103</v>
      </c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278755</v>
      </c>
      <c r="M357" s="132">
        <f t="shared" ca="1" si="229"/>
        <v>278755</v>
      </c>
      <c r="N357" s="132">
        <f t="shared" ca="1" si="229"/>
        <v>185295</v>
      </c>
      <c r="O357" s="132">
        <f t="shared" ref="O357:O365" ca="1" si="230">IF(L357&gt;0,N357*100/L357,0)</f>
        <v>66.472350271744006</v>
      </c>
      <c r="P357" s="132">
        <f t="shared" ref="P357:P365" ca="1" si="231">IF(M357&gt;0,N357*100/M357,0)</f>
        <v>66.472350271744006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278755</v>
      </c>
      <c r="M359" s="46">
        <f t="shared" ca="1" si="235"/>
        <v>278755</v>
      </c>
      <c r="N359" s="46">
        <f t="shared" ca="1" si="235"/>
        <v>185295</v>
      </c>
      <c r="O359" s="46">
        <f t="shared" ca="1" si="230"/>
        <v>66.472350271744006</v>
      </c>
      <c r="P359" s="46">
        <f t="shared" ca="1" si="231"/>
        <v>66.472350271744006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278755</v>
      </c>
      <c r="M360" s="46">
        <f t="shared" ca="1" si="237"/>
        <v>278755</v>
      </c>
      <c r="N360" s="46">
        <f t="shared" ca="1" si="237"/>
        <v>185295</v>
      </c>
      <c r="O360" s="46">
        <f t="shared" ca="1" si="230"/>
        <v>66.472350271744006</v>
      </c>
      <c r="P360" s="46">
        <f t="shared" ca="1" si="231"/>
        <v>66.472350271744006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IFERROR(__xludf.DUMMYFUNCTION("IMPORTRANGE(""https://docs.google.com/spreadsheets/d/1-uDff_7J0KD5mKrp0Vvzr7lt3OU09vwQwhkpOPPYv2Y/edit?usp=sharing"",""งบพรบ!FC79"")"),278755)</f>
        <v>278755</v>
      </c>
      <c r="M362" s="46">
        <f ca="1">IFERROR(__xludf.DUMMYFUNCTION("IMPORTRANGE(""https://docs.google.com/spreadsheets/d/1-uDff_7J0KD5mKrp0Vvzr7lt3OU09vwQwhkpOPPYv2Y/edit?usp=sharing"",""งบพรบ!FH79"")"),278755)</f>
        <v>278755</v>
      </c>
      <c r="N362" s="46">
        <f ca="1">IFERROR(__xludf.DUMMYFUNCTION("IMPORTRANGE(""https://docs.google.com/spreadsheets/d/1-uDff_7J0KD5mKrp0Vvzr7lt3OU09vwQwhkpOPPYv2Y/edit?usp=sharing"",""งบพรบ!FJ79"")"),185295)</f>
        <v>185295</v>
      </c>
      <c r="O362" s="46">
        <f t="shared" ca="1" si="230"/>
        <v>66.472350271744006</v>
      </c>
      <c r="P362" s="46">
        <f t="shared" ca="1" si="231"/>
        <v>66.472350271744006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IFERROR(__xludf.DUMMYFUNCTION("IMPORTRANGE(""https://docs.google.com/spreadsheets/d/1-uDff_7J0KD5mKrp0Vvzr7lt3OU09vwQwhkpOPPYv2Y/edit?usp=sharing"",""งบพรบ!FF79"")"),0)</f>
        <v>0</v>
      </c>
      <c r="M365" s="46">
        <f ca="1">IFERROR(__xludf.DUMMYFUNCTION("IMPORTRANGE(""https://docs.google.com/spreadsheets/d/1-uDff_7J0KD5mKrp0Vvzr7lt3OU09vwQwhkpOPPYv2Y/edit?usp=sharing"",""งบพรบ!FI79"")"),0)</f>
        <v>0</v>
      </c>
      <c r="N365" s="46">
        <f ca="1">IFERROR(__xludf.DUMMYFUNCTION("IMPORTRANGE(""https://docs.google.com/spreadsheets/d/1-uDff_7J0KD5mKrp0Vvzr7lt3OU09vwQwhkpOPPYv2Y/edit?usp=sharing"",""งบพรบ!FK79"")"),0)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19</v>
      </c>
      <c r="J366" s="235">
        <f t="shared" ca="1" si="241"/>
        <v>14</v>
      </c>
      <c r="K366" s="236">
        <f ca="1">IF(I366&gt;0,J366*100/I366,0)</f>
        <v>73.684210526315795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IFERROR(__xludf.DUMMYFUNCTION("IMPORTRANGE(""https://docs.google.com/spreadsheets/d/1tdoBKaGub7dwA3U6UFTqxio9LNnvDCQjHKmttSEBsFQ/edit?usp=sharing"",""จัดที่ดิน!AB79"")"),13)</f>
        <v>13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IFERROR(__xludf.DUMMYFUNCTION("IMPORTRANGE(""https://docs.google.com/spreadsheets/d/1eHaY18a8A9IcSdp1K8H6x8fbOy06t2VsZHhMHf-1x7Y/edit?usp=sharing"",""แผน!EW79"")"),120)</f>
        <v>120</v>
      </c>
      <c r="J369" s="676">
        <f ca="1">IFERROR(__xludf.DUMMYFUNCTION("IMPORTRANGE(""https://docs.google.com/spreadsheets/d/1tdoBKaGub7dwA3U6UFTqxio9LNnvDCQjHKmttSEBsFQ/edit?usp=sharing"",""จัดที่ดิน!AC79"")"),67.22)</f>
        <v>67.22</v>
      </c>
      <c r="K369" s="46">
        <f t="shared" ca="1" si="242"/>
        <v>56.016666666666666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IFERROR(__xludf.DUMMYFUNCTION("IMPORTRANGE(""https://docs.google.com/spreadsheets/d/1eHaY18a8A9IcSdp1K8H6x8fbOy06t2VsZHhMHf-1x7Y/edit?usp=sharing"",""แผน!EX79"")"),31)</f>
        <v>31</v>
      </c>
      <c r="J370" s="152">
        <f ca="1">IFERROR(__xludf.DUMMYFUNCTION("IMPORTRANGE(""https://docs.google.com/spreadsheets/d/1tdoBKaGub7dwA3U6UFTqxio9LNnvDCQjHKmttSEBsFQ/edit?usp=sharing"",""จัดที่ดิน!AD79"")"),28)</f>
        <v>28</v>
      </c>
      <c r="K370" s="46">
        <f t="shared" ca="1" si="242"/>
        <v>90.322580645161295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IFERROR(__xludf.DUMMYFUNCTION("IMPORTRANGE(""https://docs.google.com/spreadsheets/d/1tdoBKaGub7dwA3U6UFTqxio9LNnvDCQjHKmttSEBsFQ/edit?usp=sharing"",""จัดที่ดิน!AE79"")"),116.72)</f>
        <v>116.72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IFERROR(__xludf.DUMMYFUNCTION("IMPORTRANGE(""https://docs.google.com/spreadsheets/d/1eHaY18a8A9IcSdp1K8H6x8fbOy06t2VsZHhMHf-1x7Y/edit?usp=sharing"",""แผน!EY79"")"),19)</f>
        <v>19</v>
      </c>
      <c r="J372" s="152">
        <f ca="1">IFERROR(__xludf.DUMMYFUNCTION("IMPORTRANGE(""https://docs.google.com/spreadsheets/d/1tdoBKaGub7dwA3U6UFTqxio9LNnvDCQjHKmttSEBsFQ/edit?usp=sharing"",""จัดที่ดิน!AF79"")"),14)</f>
        <v>14</v>
      </c>
      <c r="K372" s="46">
        <f t="shared" ca="1" si="242"/>
        <v>73.684210526315795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IFERROR(__xludf.DUMMYFUNCTION("IMPORTRANGE(""https://docs.google.com/spreadsheets/d/1tdoBKaGub7dwA3U6UFTqxio9LNnvDCQjHKmttSEBsFQ/edit?usp=sharing"",""จัดที่ดิน!AG79"")"),71.54)</f>
        <v>71.540000000000006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I387+I389</f>
        <v>1000</v>
      </c>
      <c r="J375" s="684">
        <f t="shared" ca="1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62500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62500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62500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IFERROR(__xludf.DUMMYFUNCTION("IMPORTRANGE(""https://docs.google.com/spreadsheets/d/1ItG2mGa2ceCfYo0BwxsXqNm01IGEUdYcSSLTEv9YCik/edit?usp=sharing"",""เบิกจ่ายกองทุน!AY79"")"),62500)</f>
        <v>62500</v>
      </c>
      <c r="R381" s="46">
        <f ca="1">IFERROR(__xludf.DUMMYFUNCTION("IMPORTRANGE(""https://docs.google.com/spreadsheets/d/1ItG2mGa2ceCfYo0BwxsXqNm01IGEUdYcSSLTEv9YCik/edit?usp=sharing"",""เบิกจ่ายกองทุน!AZ79"")"),0)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IFERROR(__xludf.DUMMYFUNCTION("IMPORTRANGE(""https://docs.google.com/spreadsheets/d/1ItG2mGa2ceCfYo0BwxsXqNm01IGEUdYcSSLTEv9YCik/edit?usp=sharing"",""เบิกจ่ายกองทุน!BA79"")"),0)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IFERROR(__xludf.DUMMYFUNCTION("IMPORTRANGE(""https://docs.google.com/spreadsheets/d/1w5rwWK1o49a35cNtocGL0gxDwhFSTZUQu90BiH9_zqM/edit?usp=sharing"",""RTK!H79"")"),0)</f>
        <v>0</v>
      </c>
      <c r="K386" s="46">
        <f t="shared" ref="K386:K389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IFERROR(__xludf.DUMMYFUNCTION("IMPORTRANGE(""https://docs.google.com/spreadsheets/d/1w5rwWK1o49a35cNtocGL0gxDwhFSTZUQu90BiH9_zqM/edit?usp=sharing"",""RTK!G79"")"),1000)</f>
        <v>1000</v>
      </c>
      <c r="J387" s="152">
        <f ca="1">IFERROR(__xludf.DUMMYFUNCTION("IMPORTRANGE(""https://docs.google.com/spreadsheets/d/1w5rwWK1o49a35cNtocGL0gxDwhFSTZUQu90BiH9_zqM/edit?usp=sharing"",""RTK!I79"")"),0)</f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IFERROR(__xludf.DUMMYFUNCTION("IMPORTRANGE(""https://docs.google.com/spreadsheets/d/1w5rwWK1o49a35cNtocGL0gxDwhFSTZUQu90BiH9_zqM/edit?usp=sharing"",""RTK!L79"")"),0)</f>
        <v>0</v>
      </c>
      <c r="K388" s="630">
        <f t="shared" si="256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IFERROR(__xludf.DUMMYFUNCTION("IMPORTRANGE(""https://docs.google.com/spreadsheets/d/1w5rwWK1o49a35cNtocGL0gxDwhFSTZUQu90BiH9_zqM/edit?usp=sharing"",""RTK!K79"")"),0)</f>
        <v>0</v>
      </c>
      <c r="J389" s="691">
        <f ca="1">IFERROR(__xludf.DUMMYFUNCTION("IMPORTRANGE(""https://docs.google.com/spreadsheets/d/1w5rwWK1o49a35cNtocGL0gxDwhFSTZUQu90BiH9_zqM/edit?usp=sharing"",""RTK!M79"")"),0)</f>
        <v>0</v>
      </c>
      <c r="K389" s="630">
        <f t="shared" ca="1" si="256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IFERROR(__xludf.DUMMYFUNCTION("IMPORTRANGE(""https://docs.google.com/spreadsheets/d/1ItG2mGa2ceCfYo0BwxsXqNm01IGEUdYcSSLTEv9YCik/edit?usp=sharing"",""เบิกจ่ายกองทุน!BH79"")"),0)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IFERROR(__xludf.DUMMYFUNCTION("IMPORTRANGE(""https://docs.google.com/spreadsheets/d/1ItG2mGa2ceCfYo0BwxsXqNm01IGEUdYcSSLTEv9YCik/edit?usp=sharing"",""เบิกจ่ายกองทุน!BI79"")"),0)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IFERROR(__xludf.DUMMYFUNCTION("IMPORTRANGE(""https://docs.google.com/spreadsheets/d/1ItG2mGa2ceCfYo0BwxsXqNm01IGEUdYcSSLTEv9YCik/edit?usp=sharing"",""เบิกจ่ายกองทุน!BJ79"")"),0)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IFERROR(__xludf.DUMMYFUNCTION("IMPORTRANGE(""https://docs.google.com/spreadsheets/d/1eHaY18a8A9IcSdp1K8H6x8fbOy06t2VsZHhMHf-1x7Y/edit?usp=sharing"",""แผน!HJ79"")"),0)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IFERROR(__xludf.DUMMYFUNCTION("IMPORTRANGE(""https://docs.google.com/spreadsheets/d/1eHaY18a8A9IcSdp1K8H6x8fbOy06t2VsZHhMHf-1x7Y/edit?usp=sharing"",""แผน!HK79"")"),0)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IFERROR(__xludf.DUMMYFUNCTION("IMPORTRANGE(""https://docs.google.com/spreadsheets/d/1eHaY18a8A9IcSdp1K8H6x8fbOy06t2VsZHhMHf-1x7Y/edit?usp=sharing"",""แผน!HJ79"")"),0)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IFERROR(__xludf.DUMMYFUNCTION("IMPORTRANGE(""https://docs.google.com/spreadsheets/d/1eHaY18a8A9IcSdp1K8H6x8fbOy06t2VsZHhMHf-1x7Y/edit?usp=sharing"",""แผน!HK79"")"),0)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IFERROR(__xludf.DUMMYFUNCTION("IMPORTRANGE(""https://docs.google.com/spreadsheets/d/1eHaY18a8A9IcSdp1K8H6x8fbOy06t2VsZHhMHf-1x7Y/edit?usp=sharing"",""แผน!HJ79"")"),0)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IFERROR(__xludf.DUMMYFUNCTION("IMPORTRANGE(""https://docs.google.com/spreadsheets/d/1eHaY18a8A9IcSdp1K8H6x8fbOy06t2VsZHhMHf-1x7Y/edit?usp=sharing"",""แผน!HK79"")"),0)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IFERROR(__xludf.DUMMYFUNCTION("IMPORTRANGE(""https://docs.google.com/spreadsheets/d/1eHaY18a8A9IcSdp1K8H6x8fbOy06t2VsZHhMHf-1x7Y/edit?usp=sharing"",""แผน!HL79"")"),0)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IFERROR(__xludf.DUMMYFUNCTION("IMPORTRANGE(""https://docs.google.com/spreadsheets/d/1eHaY18a8A9IcSdp1K8H6x8fbOy06t2VsZHhMHf-1x7Y/edit?usp=sharing"",""แผน!HM79"")"),0)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IFERROR(__xludf.DUMMYFUNCTION("IMPORTRANGE(""https://docs.google.com/spreadsheets/d/1eHaY18a8A9IcSdp1K8H6x8fbOy06t2VsZHhMHf-1x7Y/edit?usp=sharing"",""แผน!HN79"")"),0)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IFERROR(__xludf.DUMMYFUNCTION("IMPORTRANGE(""https://docs.google.com/spreadsheets/d/1eHaY18a8A9IcSdp1K8H6x8fbOy06t2VsZHhMHf-1x7Y/edit?usp=sharing"",""แผน!HO79"")"),0)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0</v>
      </c>
      <c r="R494" s="132">
        <f t="shared" ca="1" si="305"/>
        <v>0</v>
      </c>
      <c r="S494" s="132">
        <f t="shared" ca="1" si="305"/>
        <v>0</v>
      </c>
      <c r="T494" s="132">
        <f t="shared" ref="T494:T502" ca="1" si="306">IF(Q494&gt;0,S494*100/Q494,0)</f>
        <v>0</v>
      </c>
      <c r="U494" s="132">
        <f t="shared" ref="U494:U502" ca="1" si="307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0</v>
      </c>
      <c r="R496" s="46">
        <f t="shared" ca="1" si="309"/>
        <v>0</v>
      </c>
      <c r="S496" s="46">
        <f t="shared" ca="1" si="309"/>
        <v>0</v>
      </c>
      <c r="T496" s="46">
        <f t="shared" ca="1" si="306"/>
        <v>0</v>
      </c>
      <c r="U496" s="46">
        <f t="shared" ca="1" si="307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0</v>
      </c>
      <c r="R497" s="46">
        <f t="shared" ca="1" si="311"/>
        <v>0</v>
      </c>
      <c r="S497" s="46">
        <f t="shared" ca="1" si="311"/>
        <v>0</v>
      </c>
      <c r="T497" s="46">
        <f t="shared" ca="1" si="306"/>
        <v>0</v>
      </c>
      <c r="U497" s="46">
        <f t="shared" ca="1" si="307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IFERROR(__xludf.DUMMYFUNCTION("IMPORTRANGE(""https://docs.google.com/spreadsheets/d/1ItG2mGa2ceCfYo0BwxsXqNm01IGEUdYcSSLTEv9YCik/edit?usp=sharing"",""เบิกจ่ายกองทุน!X79"")"),0)</f>
        <v>0</v>
      </c>
      <c r="R499" s="46">
        <f ca="1">IFERROR(__xludf.DUMMYFUNCTION("IMPORTRANGE(""https://docs.google.com/spreadsheets/d/1ItG2mGa2ceCfYo0BwxsXqNm01IGEUdYcSSLTEv9YCik/edit?usp=sharing"",""เบิกจ่ายกองทุน!Y79"")"),0)</f>
        <v>0</v>
      </c>
      <c r="S499" s="46">
        <f ca="1">IFERROR(__xludf.DUMMYFUNCTION("IMPORTRANGE(""https://docs.google.com/spreadsheets/d/1ItG2mGa2ceCfYo0BwxsXqNm01IGEUdYcSSLTEv9YCik/edit?usp=sharing"",""เบิกจ่ายกองทุน!Z79"")"),0)</f>
        <v>0</v>
      </c>
      <c r="T499" s="46">
        <f t="shared" ca="1" si="306"/>
        <v>0</v>
      </c>
      <c r="U499" s="46">
        <f t="shared" ca="1" si="307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IFERROR(__xludf.DUMMYFUNCTION("IMPORTRANGE(""https://docs.google.com/spreadsheets/d/1eHaY18a8A9IcSdp1K8H6x8fbOy06t2VsZHhMHf-1x7Y/edit?usp=sharing"",""แผน!GX79"")"),0)</f>
        <v>0</v>
      </c>
      <c r="J504" s="147">
        <f ca="1">IF(AND(J505=I505,J506=I506,J507=I507,J508=I508),I504,0)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IFERROR(__xludf.DUMMYFUNCTION("IMPORTRANGE(""https://docs.google.com/spreadsheets/d/1eHaY18a8A9IcSdp1K8H6x8fbOy06t2VsZHhMHf-1x7Y/edit?usp=sharing"",""แผน!GY79"")"),0)</f>
        <v>0</v>
      </c>
      <c r="J505" s="168">
        <v>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IFERROR(__xludf.DUMMYFUNCTION("IMPORTRANGE(""https://docs.google.com/spreadsheets/d/1eHaY18a8A9IcSdp1K8H6x8fbOy06t2VsZHhMHf-1x7Y/edit?usp=sharing"",""แผน!GZ79"")"),0)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IFERROR(__xludf.DUMMYFUNCTION("IMPORTRANGE(""https://docs.google.com/spreadsheets/d/1eHaY18a8A9IcSdp1K8H6x8fbOy06t2VsZHhMHf-1x7Y/edit?usp=sharing"",""แผน!HA79"")"),0)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IFERROR(__xludf.DUMMYFUNCTION("IMPORTRANGE(""https://docs.google.com/spreadsheets/d/1eHaY18a8A9IcSdp1K8H6x8fbOy06t2VsZHhMHf-1x7Y/edit?usp=sharing"",""แผน!HB79"")"),0)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IFERROR(__xludf.DUMMYFUNCTION("IMPORTRANGE(""https://docs.google.com/spreadsheets/d/1eHaY18a8A9IcSdp1K8H6x8fbOy06t2VsZHhMHf-1x7Y/edit?usp=sharing"",""แผน!HC79"")"),0)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IFERROR(__xludf.DUMMYFUNCTION("IMPORTRANGE(""https://docs.google.com/spreadsheets/d/1-uDff_7J0KD5mKrp0Vvzr7lt3OU09vwQwhkpOPPYv2Y/edit?usp=sharing"",""งบพรบ!FM79"")"),0)</f>
        <v>0</v>
      </c>
      <c r="M519" s="46">
        <f ca="1">IFERROR(__xludf.DUMMYFUNCTION("IMPORTRANGE(""https://docs.google.com/spreadsheets/d/1-uDff_7J0KD5mKrp0Vvzr7lt3OU09vwQwhkpOPPYv2Y/edit?usp=sharing"",""งบพรบ!FR79"")"),0)</f>
        <v>0</v>
      </c>
      <c r="N519" s="46">
        <f ca="1">IFERROR(__xludf.DUMMYFUNCTION("IMPORTRANGE(""https://docs.google.com/spreadsheets/d/1-uDff_7J0KD5mKrp0Vvzr7lt3OU09vwQwhkpOPPYv2Y/edit?usp=sharing"",""งบพรบ!FT79"")"),0)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IFERROR(__xludf.DUMMYFUNCTION("IMPORTRANGE(""https://docs.google.com/spreadsheets/d/1-uDff_7J0KD5mKrp0Vvzr7lt3OU09vwQwhkpOPPYv2Y/edit?usp=sharing"",""งบพรบ!FP79"")"),0)</f>
        <v>0</v>
      </c>
      <c r="M522" s="46">
        <f ca="1">IFERROR(__xludf.DUMMYFUNCTION("IMPORTRANGE(""https://docs.google.com/spreadsheets/d/1-uDff_7J0KD5mKrp0Vvzr7lt3OU09vwQwhkpOPPYv2Y/edit?usp=sharing"",""งบพรบ!FS79"")"),0)</f>
        <v>0</v>
      </c>
      <c r="N522" s="46">
        <f ca="1">IFERROR(__xludf.DUMMYFUNCTION("IMPORTRANGE(""https://docs.google.com/spreadsheets/d/1-uDff_7J0KD5mKrp0Vvzr7lt3OU09vwQwhkpOPPYv2Y/edit?usp=sharing"",""งบพรบ!FU79"")"),0)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50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6825</v>
      </c>
      <c r="R617" s="132">
        <f t="shared" ca="1" si="384"/>
        <v>6825</v>
      </c>
      <c r="S617" s="132">
        <f t="shared" ca="1" si="384"/>
        <v>1825</v>
      </c>
      <c r="T617" s="132">
        <f t="shared" ref="T617:T625" ca="1" si="385">IF(Q617&gt;0,S617*100/Q617,0)</f>
        <v>26.739926739926741</v>
      </c>
      <c r="U617" s="132">
        <f t="shared" ref="U617:U625" ca="1" si="386">IF(R617&gt;0,S617*100/R617,0)</f>
        <v>26.739926739926741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6825</v>
      </c>
      <c r="R619" s="46">
        <f t="shared" ca="1" si="388"/>
        <v>6825</v>
      </c>
      <c r="S619" s="46">
        <f t="shared" ca="1" si="388"/>
        <v>1825</v>
      </c>
      <c r="T619" s="46">
        <f t="shared" ca="1" si="385"/>
        <v>26.739926739926741</v>
      </c>
      <c r="U619" s="46">
        <f t="shared" ca="1" si="386"/>
        <v>26.739926739926741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6825</v>
      </c>
      <c r="R620" s="46">
        <f t="shared" ca="1" si="390"/>
        <v>6825</v>
      </c>
      <c r="S620" s="46">
        <f t="shared" ca="1" si="390"/>
        <v>1825</v>
      </c>
      <c r="T620" s="46">
        <f t="shared" ca="1" si="385"/>
        <v>26.739926739926741</v>
      </c>
      <c r="U620" s="46">
        <f t="shared" ca="1" si="386"/>
        <v>26.739926739926741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IFERROR(__xludf.DUMMYFUNCTION("IMPORTRANGE(""https://docs.google.com/spreadsheets/d/1ItG2mGa2ceCfYo0BwxsXqNm01IGEUdYcSSLTEv9YCik/edit?usp=sharing"",""เบิกจ่ายกองทุน!F79"")"),6825)</f>
        <v>6825</v>
      </c>
      <c r="R622" s="46">
        <f ca="1">IFERROR(__xludf.DUMMYFUNCTION("IMPORTRANGE(""https://docs.google.com/spreadsheets/d/1ItG2mGa2ceCfYo0BwxsXqNm01IGEUdYcSSLTEv9YCik/edit?usp=sharing"",""เบิกจ่ายกองทุน!G79"")"),6825)</f>
        <v>6825</v>
      </c>
      <c r="S622" s="46">
        <f ca="1">IFERROR(__xludf.DUMMYFUNCTION("IMPORTRANGE(""https://docs.google.com/spreadsheets/d/1ItG2mGa2ceCfYo0BwxsXqNm01IGEUdYcSSLTEv9YCik/edit?usp=sharing"",""เบิกจ่ายกองทุน!H79"")"),1825)</f>
        <v>1825</v>
      </c>
      <c r="T622" s="46">
        <f t="shared" ca="1" si="385"/>
        <v>26.739926739926741</v>
      </c>
      <c r="U622" s="46">
        <f t="shared" ca="1" si="386"/>
        <v>26.739926739926741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IFERROR(__xludf.DUMMYFUNCTION("IMPORTRANGE(""https://docs.google.com/spreadsheets/d/1eHaY18a8A9IcSdp1K8H6x8fbOy06t2VsZHhMHf-1x7Y/edit?usp=sharing"",""แผน!ID79"")"),50)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8">
        <v>0</v>
      </c>
      <c r="K628" s="46">
        <f t="shared" ref="K628:K629" ca="1" si="393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IFERROR(__xludf.DUMMYFUNCTION("IMPORTRANGE(""https://docs.google.com/spreadsheets/d/1eHaY18a8A9IcSdp1K8H6x8fbOy06t2VsZHhMHf-1x7Y/edit?usp=sharing"",""แผน!IC79"")"),0)</f>
        <v>0</v>
      </c>
      <c r="J629" s="168">
        <v>0</v>
      </c>
      <c r="K629" s="46">
        <f t="shared" ca="1" si="393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IFERROR(__xludf.DUMMYFUNCTION("IMPORTRANGE(""https://docs.google.com/spreadsheets/d/1eHaY18a8A9IcSdp1K8H6x8fbOy06t2VsZHhMHf-1x7Y/edit?usp=sharing"",""แผน!IE79"")"),0)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IFERROR(__xludf.DUMMYFUNCTION("IMPORTRANGE(""https://docs.google.com/spreadsheets/d/1ItG2mGa2ceCfYo0BwxsXqNm01IGEUdYcSSLTEv9YCik/edit?usp=sharing"",""เบิกจ่ายกองทุน!I79"")"),0)</f>
        <v>0</v>
      </c>
      <c r="R648" s="46">
        <f ca="1">IFERROR(__xludf.DUMMYFUNCTION("IMPORTRANGE(""https://docs.google.com/spreadsheets/d/1ItG2mGa2ceCfYo0BwxsXqNm01IGEUdYcSSLTEv9YCik/edit?usp=sharing"",""เบิกจ่ายกองทุน!J79"")"),0)</f>
        <v>0</v>
      </c>
      <c r="S648" s="46">
        <f ca="1">IFERROR(__xludf.DUMMYFUNCTION("IMPORTRANGE(""https://docs.google.com/spreadsheets/d/1ItG2mGa2ceCfYo0BwxsXqNm01IGEUdYcSSLTEv9YCik/edit?usp=sharing"",""เบิกจ่ายกองทุน!K79"")"),0)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IFERROR(__xludf.DUMMYFUNCTION("IMPORTRANGE(""https://docs.google.com/spreadsheets/d/1eHaY18a8A9IcSdp1K8H6x8fbOy06t2VsZHhMHf-1x7Y/edit?usp=sharing"",""แผน!IF79"")"),0)</f>
        <v>0</v>
      </c>
      <c r="J653" s="152">
        <f ca="1">IFERROR(__xludf.DUMMYFUNCTION("IMPORTRANGE(""https://docs.google.com/spreadsheets/d/1tdoBKaGub7dwA3U6UFTqxio9LNnvDCQjHKmttSEBsFQ/edit?usp=sharing"",""จัดที่ดิน!AU79"")"),0)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IFERROR(__xludf.DUMMYFUNCTION("IMPORTRANGE(""https://docs.google.com/spreadsheets/d/1eHaY18a8A9IcSdp1K8H6x8fbOy06t2VsZHhMHf-1x7Y/edit?usp=sharing"",""แผน!IG79"")"),0)</f>
        <v>0</v>
      </c>
      <c r="J654" s="152">
        <f ca="1">IFERROR(__xludf.DUMMYFUNCTION("IMPORTRANGE(""https://docs.google.com/spreadsheets/d/1tdoBKaGub7dwA3U6UFTqxio9LNnvDCQjHKmttSEBsFQ/edit?usp=sharing"",""จัดที่ดิน!AW79"")"),0)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IFERROR(__xludf.DUMMYFUNCTION("IMPORTRANGE(""https://docs.google.com/spreadsheets/d/1eHaY18a8A9IcSdp1K8H6x8fbOy06t2VsZHhMHf-1x7Y/edit?usp=sharing"",""แผน!IH79"")"),0)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IFERROR(__xludf.DUMMYFUNCTION("IMPORTRANGE(""https://docs.google.com/spreadsheets/d/1eHaY18a8A9IcSdp1K8H6x8fbOy06t2VsZHhMHf-1x7Y/edit?usp=sharing"",""แผน!II79"")"),0)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IFERROR(__xludf.DUMMYFUNCTION("IMPORTRANGE(""https://docs.google.com/spreadsheets/d/1eHaY18a8A9IcSdp1K8H6x8fbOy06t2VsZHhMHf-1x7Y/edit?usp=sharing"",""แผน!IJ79"")"),0)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IFERROR(__xludf.DUMMYFUNCTION("IMPORTRANGE(""https://docs.google.com/spreadsheets/d/1eHaY18a8A9IcSdp1K8H6x8fbOy06t2VsZHhMHf-1x7Y/edit?usp=sharing"",""แผน!IK79"")"),0)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IFERROR(__xludf.DUMMYFUNCTION("IMPORTRANGE(""https://docs.google.com/spreadsheets/d/1tdoBKaGub7dwA3U6UFTqxio9LNnvDCQjHKmttSEBsFQ/edit?usp=sharing"",""จัดที่ดิน!AY79"")"),0)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IFERROR(__xludf.DUMMYFUNCTION("IMPORTRANGE(""https://docs.google.com/spreadsheets/d/1tdoBKaGub7dwA3U6UFTqxio9LNnvDCQjHKmttSEBsFQ/edit?usp=sharing"",""จัดที่ดิน!AZ79"")"),0)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IFERROR(__xludf.DUMMYFUNCTION("IMPORTRANGE(""https://docs.google.com/spreadsheets/d/1eHaY18a8A9IcSdp1K8H6x8fbOy06t2VsZHhMHf-1x7Y/edit?usp=sharing"",""แผน!IL79"")"),0)</f>
        <v>0</v>
      </c>
      <c r="J674" s="152">
        <f ca="1">IFERROR(__xludf.DUMMYFUNCTION("IMPORTRANGE(""https://docs.google.com/spreadsheets/d/1tdoBKaGub7dwA3U6UFTqxio9LNnvDCQjHKmttSEBsFQ/edit?usp=sharing"",""จัดที่ดิน!BA79"")"),0)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IFERROR(__xludf.DUMMYFUNCTION("IMPORTRANGE(""https://docs.google.com/spreadsheets/d/1eHaY18a8A9IcSdp1K8H6x8fbOy06t2VsZHhMHf-1x7Y/edit?usp=sharing"",""แผน!IM79"")"),0)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IFERROR(__xludf.DUMMYFUNCTION("IMPORTRANGE(""https://docs.google.com/spreadsheets/d/1eHaY18a8A9IcSdp1K8H6x8fbOy06t2VsZHhMHf-1x7Y/edit?usp=sharing"",""แผน!IN79"")"),0)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IFERROR(__xludf.DUMMYFUNCTION("IMPORTRANGE(""https://docs.google.com/spreadsheets/d/1eHaY18a8A9IcSdp1K8H6x8fbOy06t2VsZHhMHf-1x7Y/edit?usp=sharing"",""แผน!IO79"")"),0)</f>
        <v>0</v>
      </c>
      <c r="J677" s="152">
        <f ca="1">IFERROR(__xludf.DUMMYFUNCTION("IMPORTRANGE(""https://docs.google.com/spreadsheets/d/1tdoBKaGub7dwA3U6UFTqxio9LNnvDCQjHKmttSEBsFQ/edit?usp=sharing"",""จัดที่ดิน!BF79"")"),0)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IFERROR(__xludf.DUMMYFUNCTION("IMPORTRANGE(""https://docs.google.com/spreadsheets/d/1tdoBKaGub7dwA3U6UFTqxio9LNnvDCQjHKmttSEBsFQ/edit?usp=sharing"",""จัดที่ดิน!BG79"")"),0)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IFERROR(__xludf.DUMMYFUNCTION("IMPORTRANGE(""https://docs.google.com/spreadsheets/d/1eHaY18a8A9IcSdp1K8H6x8fbOy06t2VsZHhMHf-1x7Y/edit?usp=sharing"",""แผน!IP79"")"),0)</f>
        <v>0</v>
      </c>
      <c r="J679" s="152">
        <f ca="1">IFERROR(__xludf.DUMMYFUNCTION("IMPORTRANGE(""https://docs.google.com/spreadsheets/d/1tdoBKaGub7dwA3U6UFTqxio9LNnvDCQjHKmttSEBsFQ/edit?usp=sharing"",""จัดที่ดิน!BH79"")"),0)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IFERROR(__xludf.DUMMYFUNCTION("IMPORTRANGE(""https://docs.google.com/spreadsheets/d/1eHaY18a8A9IcSdp1K8H6x8fbOy06t2VsZHhMHf-1x7Y/edit?usp=sharing"",""แผน!IQ79"")"),0)</f>
        <v>0</v>
      </c>
      <c r="J680" s="152">
        <f ca="1">IFERROR(__xludf.DUMMYFUNCTION("IMPORTRANGE(""https://docs.google.com/spreadsheets/d/1tdoBKaGub7dwA3U6UFTqxio9LNnvDCQjHKmttSEBsFQ/edit?usp=sharing"",""จัดที่ดิน!BK79"")"),0)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IFERROR(__xludf.DUMMYFUNCTION("IMPORTRANGE(""https://docs.google.com/spreadsheets/d/1tdoBKaGub7dwA3U6UFTqxio9LNnvDCQjHKmttSEBsFQ/edit?usp=sharing"",""จัดที่ดิน!BL79"")"),0)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IFERROR(__xludf.DUMMYFUNCTION("IMPORTRANGE(""https://docs.google.com/spreadsheets/d/1eHaY18a8A9IcSdp1K8H6x8fbOy06t2VsZHhMHf-1x7Y/edit?usp=sharing"",""แผน!IR79"")"),0)</f>
        <v>0</v>
      </c>
      <c r="J682" s="152">
        <f ca="1">IFERROR(__xludf.DUMMYFUNCTION("IMPORTRANGE(""https://docs.google.com/spreadsheets/d/1tdoBKaGub7dwA3U6UFTqxio9LNnvDCQjHKmttSEBsFQ/edit?usp=sharing"",""จัดที่ดิน!BM79"")"),0)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IFERROR(__xludf.DUMMYFUNCTION("IMPORTRANGE(""https://docs.google.com/spreadsheets/d/1eHaY18a8A9IcSdp1K8H6x8fbOy06t2VsZHhMHf-1x7Y/edit?usp=sharing"",""แผน!IS79"")"),0)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hidden="1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hidden="1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0</v>
      </c>
      <c r="R691" s="132">
        <f t="shared" ca="1" si="415"/>
        <v>0</v>
      </c>
      <c r="S691" s="132">
        <f t="shared" ca="1" si="415"/>
        <v>0</v>
      </c>
      <c r="T691" s="132">
        <f t="shared" ref="T691:T699" ca="1" si="416">IF(Q691&gt;0,S691*100/Q691,0)</f>
        <v>0</v>
      </c>
      <c r="U691" s="132">
        <f t="shared" ref="U691:U699" ca="1" si="417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0</v>
      </c>
      <c r="R693" s="46">
        <f t="shared" ca="1" si="419"/>
        <v>0</v>
      </c>
      <c r="S693" s="46">
        <f t="shared" ca="1" si="419"/>
        <v>0</v>
      </c>
      <c r="T693" s="46">
        <f t="shared" ca="1" si="416"/>
        <v>0</v>
      </c>
      <c r="U693" s="46">
        <f t="shared" ca="1" si="417"/>
        <v>0</v>
      </c>
    </row>
    <row r="694" spans="1:21" ht="18.75" hidden="1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0</v>
      </c>
      <c r="R694" s="46">
        <f t="shared" ca="1" si="421"/>
        <v>0</v>
      </c>
      <c r="S694" s="46">
        <f t="shared" ca="1" si="421"/>
        <v>0</v>
      </c>
      <c r="T694" s="46">
        <f t="shared" ca="1" si="416"/>
        <v>0</v>
      </c>
      <c r="U694" s="46">
        <f t="shared" ca="1" si="417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IFERROR(__xludf.DUMMYFUNCTION("IMPORTRANGE(""https://docs.google.com/spreadsheets/d/1ItG2mGa2ceCfYo0BwxsXqNm01IGEUdYcSSLTEv9YCik/edit?usp=sharing"",""เบิกจ่ายกองทุน!L79"")"),0)</f>
        <v>0</v>
      </c>
      <c r="R696" s="46">
        <f ca="1">IFERROR(__xludf.DUMMYFUNCTION("IMPORTRANGE(""https://docs.google.com/spreadsheets/d/1ItG2mGa2ceCfYo0BwxsXqNm01IGEUdYcSSLTEv9YCik/edit?usp=sharing"",""เบิกจ่ายกองทุน!M79"")"),0)</f>
        <v>0</v>
      </c>
      <c r="S696" s="46">
        <f ca="1">IFERROR(__xludf.DUMMYFUNCTION("IMPORTRANGE(""https://docs.google.com/spreadsheets/d/1ItG2mGa2ceCfYo0BwxsXqNm01IGEUdYcSSLTEv9YCik/edit?usp=sharing"",""เบิกจ่ายกองทุน!N79"")"),0)</f>
        <v>0</v>
      </c>
      <c r="T696" s="46">
        <f t="shared" ca="1" si="416"/>
        <v>0</v>
      </c>
      <c r="U696" s="46">
        <f t="shared" ca="1" si="417"/>
        <v>0</v>
      </c>
    </row>
    <row r="697" spans="1:21" ht="18.75" hidden="1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hidden="1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hidden="1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IFERROR(__xludf.DUMMYFUNCTION("IMPORTRANGE(""https://docs.google.com/spreadsheets/d/1eHaY18a8A9IcSdp1K8H6x8fbOy06t2VsZHhMHf-1x7Y/edit?usp=sharing"",""แผน!LC79"")"),0)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hidden="1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0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IFERROR(__xludf.DUMMYFUNCTION("IMPORTRANGE(""https://docs.google.com/spreadsheets/d/1eHaY18a8A9IcSdp1K8H6x8fbOy06t2VsZHhMHf-1x7Y/edit?usp=sharing"",""แผน!LJ79"")"),0)</f>
        <v>0</v>
      </c>
      <c r="J704" s="152">
        <f ca="1">IFERROR(__xludf.DUMMYFUNCTION("IMPORTRANGE(""https://docs.google.com/spreadsheets/d/1tdoBKaGub7dwA3U6UFTqxio9LNnvDCQjHKmttSEBsFQ/edit?usp=sharing"",""จัดที่ดิน!AP79"")"),0)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IFERROR(__xludf.DUMMYFUNCTION("IMPORTRANGE(""https://docs.google.com/spreadsheets/d/1tdoBKaGub7dwA3U6UFTqxio9LNnvDCQjHKmttSEBsFQ/edit?usp=sharing"",""จัดที่ดิน!AQ79"")"),0)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IFERROR(__xludf.DUMMYFUNCTION("IMPORTRANGE(""https://docs.google.com/spreadsheets/d/1eHaY18a8A9IcSdp1K8H6x8fbOy06t2VsZHhMHf-1x7Y/edit?usp=sharing"",""แผน!LK79"")"),0)</f>
        <v>0</v>
      </c>
      <c r="J706" s="152">
        <f ca="1">IFERROR(__xludf.DUMMYFUNCTION("IMPORTRANGE(""https://docs.google.com/spreadsheets/d/1tdoBKaGub7dwA3U6UFTqxio9LNnvDCQjHKmttSEBsFQ/edit?usp=sharing"",""จัดที่ดิน!AR79"")"),0)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IFERROR(__xludf.DUMMYFUNCTION("IMPORTRANGE(""https://docs.google.com/spreadsheets/d/1tdoBKaGub7dwA3U6UFTqxio9LNnvDCQjHKmttSEBsFQ/edit?usp=sharing"",""จัดที่ดิน!AS79"")"),0)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IFERROR(__xludf.DUMMYFUNCTION("IMPORTRANGE(""https://docs.google.com/spreadsheets/d/1eHaY18a8A9IcSdp1K8H6x8fbOy06t2VsZHhMHf-1x7Y/edit?usp=sharing"",""แผน!LJ79"")"),0)</f>
        <v>0</v>
      </c>
      <c r="J708" s="152">
        <f ca="1">IFERROR(__xludf.DUMMYFUNCTION("IMPORTRANGE(""https://docs.google.com/spreadsheets/d/1tdoBKaGub7dwA3U6UFTqxio9LNnvDCQjHKmttSEBsFQ/edit?usp=sharing"",""จัดที่ดิน!BN79"")"),0)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IFERROR(__xludf.DUMMYFUNCTION("IMPORTRANGE(""https://docs.google.com/spreadsheets/d/1tdoBKaGub7dwA3U6UFTqxio9LNnvDCQjHKmttSEBsFQ/edit?usp=sharing"",""จัดที่ดิน!BO79"")"),0)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IFERROR(__xludf.DUMMYFUNCTION("IMPORTRANGE(""https://docs.google.com/spreadsheets/d/1eHaY18a8A9IcSdp1K8H6x8fbOy06t2VsZHhMHf-1x7Y/edit?usp=sharing"",""แผน!LK79"")"),0)</f>
        <v>0</v>
      </c>
      <c r="J710" s="152">
        <f ca="1">IFERROR(__xludf.DUMMYFUNCTION("IMPORTRANGE(""https://docs.google.com/spreadsheets/d/1tdoBKaGub7dwA3U6UFTqxio9LNnvDCQjHKmttSEBsFQ/edit?usp=sharing"",""จัดที่ดิน!BP79"")"),0)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hidden="1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IFERROR(__xludf.DUMMYFUNCTION("IMPORTRANGE(""https://docs.google.com/spreadsheets/d/1tdoBKaGub7dwA3U6UFTqxio9LNnvDCQjHKmttSEBsFQ/edit?usp=sharing"",""จัดที่ดิน!BQ79"")"),0)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IFERROR(__xludf.DUMMYFUNCTION("IMPORTRANGE(""https://docs.google.com/spreadsheets/d/1eHaY18a8A9IcSdp1K8H6x8fbOy06t2VsZHhMHf-1x7Y/edit?usp=sharing"",""แผน!GA79"")"),11)</f>
        <v>11</v>
      </c>
      <c r="J727" s="448">
        <f>J743+J747+J750</f>
        <v>10</v>
      </c>
      <c r="K727" s="449">
        <f t="shared" ref="K727:K728" ca="1" si="438">IF(I727&gt;0,J727*100/I727,0)</f>
        <v>90.909090909090907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IFERROR(__xludf.DUMMYFUNCTION("IMPORTRANGE(""https://docs.google.com/spreadsheets/d/1eHaY18a8A9IcSdp1K8H6x8fbOy06t2VsZHhMHf-1x7Y/edit?usp=sharing"",""แผน!FZ79"")"),100)</f>
        <v>100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111882</v>
      </c>
      <c r="R729" s="132">
        <f t="shared" ca="1" si="442"/>
        <v>111882</v>
      </c>
      <c r="S729" s="132">
        <f t="shared" ca="1" si="442"/>
        <v>22742</v>
      </c>
      <c r="T729" s="132">
        <f t="shared" ref="T729:T737" ca="1" si="443">IF(Q729&gt;0,S729*100/Q729,0)</f>
        <v>20.326772849966929</v>
      </c>
      <c r="U729" s="132">
        <f t="shared" ref="U729:U737" ca="1" si="444">IF(R729&gt;0,S729*100/R729,0)</f>
        <v>20.326772849966929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111882</v>
      </c>
      <c r="R731" s="46">
        <f t="shared" ca="1" si="446"/>
        <v>111882</v>
      </c>
      <c r="S731" s="46">
        <f t="shared" ca="1" si="446"/>
        <v>22742</v>
      </c>
      <c r="T731" s="46">
        <f t="shared" ca="1" si="443"/>
        <v>20.326772849966929</v>
      </c>
      <c r="U731" s="46">
        <f t="shared" ca="1" si="444"/>
        <v>20.326772849966929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111882</v>
      </c>
      <c r="R732" s="46">
        <f t="shared" ca="1" si="448"/>
        <v>111882</v>
      </c>
      <c r="S732" s="46">
        <f t="shared" ca="1" si="448"/>
        <v>22742</v>
      </c>
      <c r="T732" s="46">
        <f t="shared" ca="1" si="443"/>
        <v>20.326772849966929</v>
      </c>
      <c r="U732" s="46">
        <f t="shared" ca="1" si="444"/>
        <v>20.326772849966929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4" s="46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4" s="46">
        <f ca="1">IFERROR(__xludf.DUMMYFUNCTION("IMPORTRANGE(""https://docs.google.com/spreadsheets/d/1ItG2mGa2ceCfYo0BwxsXqNm01IGEUdYcSSLTEv9YCik/edit?usp=sharing"",""เบิกจ่ายกองทุน!Q79"")"),22742)</f>
        <v>22742</v>
      </c>
      <c r="T734" s="46">
        <f t="shared" ca="1" si="443"/>
        <v>20.326772849966929</v>
      </c>
      <c r="U734" s="46">
        <f t="shared" ca="1" si="444"/>
        <v>20.326772849966929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36" t="s">
        <v>271</v>
      </c>
      <c r="G741" s="143"/>
      <c r="H741" s="133" t="s">
        <v>46</v>
      </c>
      <c r="I741" s="152">
        <f ca="1">IFERROR(__xludf.DUMMYFUNCTION("IMPORTRANGE(""https://docs.google.com/spreadsheets/d/1eHaY18a8A9IcSdp1K8H6x8fbOy06t2VsZHhMHf-1x7Y/edit?usp=sharing"",""แผน!GB79"")"),80)</f>
        <v>80</v>
      </c>
      <c r="J741" s="168">
        <v>80</v>
      </c>
      <c r="K741" s="46">
        <f ca="1">IF(I741&gt;0,J741*100/I741,0)</f>
        <v>100</v>
      </c>
      <c r="L741" s="522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36" t="s">
        <v>272</v>
      </c>
      <c r="G742" s="143"/>
      <c r="H742" s="133" t="s">
        <v>35</v>
      </c>
      <c r="I742" s="44"/>
      <c r="J742" s="168">
        <v>0</v>
      </c>
      <c r="K742" s="45"/>
      <c r="L742" s="522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139"/>
      <c r="F743" s="436" t="s">
        <v>273</v>
      </c>
      <c r="G743" s="143"/>
      <c r="H743" s="133" t="s">
        <v>35</v>
      </c>
      <c r="I743" s="152">
        <f ca="1">IFERROR(__xludf.DUMMYFUNCTION("IMPORTRANGE(""https://docs.google.com/spreadsheets/d/1eHaY18a8A9IcSdp1K8H6x8fbOy06t2VsZHhMHf-1x7Y/edit?usp=sharing"",""แผน!GC79"")"),8)</f>
        <v>8</v>
      </c>
      <c r="J743" s="168">
        <v>8</v>
      </c>
      <c r="K743" s="46">
        <f ca="1">IF(I743&gt;0,J743*100/I743,0)</f>
        <v>100</v>
      </c>
      <c r="L743" s="522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436" t="s">
        <v>274</v>
      </c>
      <c r="F744" s="139"/>
      <c r="G744" s="143"/>
      <c r="H744" s="193"/>
      <c r="I744" s="44"/>
      <c r="J744" s="44"/>
      <c r="K744" s="45"/>
      <c r="L744" s="522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36" t="s">
        <v>271</v>
      </c>
      <c r="G745" s="143"/>
      <c r="H745" s="133" t="s">
        <v>46</v>
      </c>
      <c r="I745" s="152">
        <f ca="1">IFERROR(__xludf.DUMMYFUNCTION("IMPORTRANGE(""https://docs.google.com/spreadsheets/d/1eHaY18a8A9IcSdp1K8H6x8fbOy06t2VsZHhMHf-1x7Y/edit?usp=sharing"",""แผน!GD79"")"),20)</f>
        <v>20</v>
      </c>
      <c r="J745" s="168">
        <v>20</v>
      </c>
      <c r="K745" s="46">
        <f ca="1">IF(I745&gt;0,J745*100/I745,0)</f>
        <v>100</v>
      </c>
      <c r="L745" s="522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36" t="s">
        <v>275</v>
      </c>
      <c r="G746" s="143"/>
      <c r="H746" s="133" t="s">
        <v>35</v>
      </c>
      <c r="I746" s="44"/>
      <c r="J746" s="168">
        <v>0</v>
      </c>
      <c r="K746" s="45"/>
      <c r="L746" s="522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139"/>
      <c r="F747" s="436" t="s">
        <v>276</v>
      </c>
      <c r="G747" s="143"/>
      <c r="H747" s="133" t="s">
        <v>35</v>
      </c>
      <c r="I747" s="152">
        <f ca="1">IFERROR(__xludf.DUMMYFUNCTION("IMPORTRANGE(""https://docs.google.com/spreadsheets/d/1eHaY18a8A9IcSdp1K8H6x8fbOy06t2VsZHhMHf-1x7Y/edit?usp=sharing"",""แผน!GE79"")"),2)</f>
        <v>2</v>
      </c>
      <c r="J747" s="168">
        <v>2</v>
      </c>
      <c r="K747" s="46">
        <f ca="1">IF(I747&gt;0,J747*100/I747,0)</f>
        <v>100</v>
      </c>
      <c r="L747" s="522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436" t="s">
        <v>277</v>
      </c>
      <c r="F748" s="169"/>
      <c r="G748" s="143"/>
      <c r="H748" s="193"/>
      <c r="I748" s="44"/>
      <c r="J748" s="44"/>
      <c r="K748" s="45"/>
      <c r="L748" s="522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36" t="s">
        <v>278</v>
      </c>
      <c r="G749" s="143"/>
      <c r="H749" s="133" t="s">
        <v>35</v>
      </c>
      <c r="I749" s="44"/>
      <c r="J749" s="168">
        <v>0</v>
      </c>
      <c r="K749" s="45"/>
      <c r="L749" s="522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8.75" x14ac:dyDescent="0.25">
      <c r="A750" s="138"/>
      <c r="B750" s="139"/>
      <c r="C750" s="139"/>
      <c r="D750" s="139"/>
      <c r="E750" s="139"/>
      <c r="F750" s="436" t="s">
        <v>279</v>
      </c>
      <c r="G750" s="143"/>
      <c r="H750" s="133" t="s">
        <v>35</v>
      </c>
      <c r="I750" s="152">
        <f ca="1">IFERROR(__xludf.DUMMYFUNCTION("IMPORTRANGE(""https://docs.google.com/spreadsheets/d/1eHaY18a8A9IcSdp1K8H6x8fbOy06t2VsZHhMHf-1x7Y/edit?usp=sharing"",""แผน!GF79"")"),1)</f>
        <v>1</v>
      </c>
      <c r="J750" s="168">
        <v>0</v>
      </c>
      <c r="K750" s="46">
        <f ca="1">IF(I750&gt;0,J750*100/I750,0)</f>
        <v>0</v>
      </c>
      <c r="L750" s="522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9.5" x14ac:dyDescent="0.3">
      <c r="A751" s="138"/>
      <c r="B751" s="139"/>
      <c r="C751" s="139"/>
      <c r="D751" s="461" t="s">
        <v>50</v>
      </c>
      <c r="E751" s="139"/>
      <c r="F751" s="169"/>
      <c r="G751" s="143"/>
      <c r="H751" s="193"/>
      <c r="I751" s="44"/>
      <c r="J751" s="44"/>
      <c r="K751" s="45"/>
      <c r="L751" s="522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436" t="s">
        <v>270</v>
      </c>
      <c r="F752" s="169"/>
      <c r="G752" s="143"/>
      <c r="H752" s="193"/>
      <c r="I752" s="44"/>
      <c r="J752" s="44"/>
      <c r="K752" s="45"/>
      <c r="L752" s="522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67" t="s">
        <v>280</v>
      </c>
      <c r="G753" s="143"/>
      <c r="H753" s="133" t="s">
        <v>46</v>
      </c>
      <c r="I753" s="152">
        <f ca="1">IFERROR(__xludf.DUMMYFUNCTION("IMPORTRANGE(""https://docs.google.com/spreadsheets/d/1eHaY18a8A9IcSdp1K8H6x8fbOy06t2VsZHhMHf-1x7Y/edit?usp=sharing"",""แผน!GB79"")"),80)</f>
        <v>80</v>
      </c>
      <c r="J753" s="168">
        <v>0</v>
      </c>
      <c r="K753" s="46">
        <f ca="1">IF(I753&gt;0,J753*100/I753,0)</f>
        <v>0</v>
      </c>
      <c r="L753" s="522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139"/>
      <c r="F754" s="167" t="s">
        <v>281</v>
      </c>
      <c r="G754" s="143"/>
      <c r="H754" s="133" t="s">
        <v>46</v>
      </c>
      <c r="I754" s="44"/>
      <c r="J754" s="168">
        <v>0</v>
      </c>
      <c r="K754" s="45"/>
      <c r="L754" s="522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436" t="s">
        <v>274</v>
      </c>
      <c r="F755" s="169"/>
      <c r="G755" s="143"/>
      <c r="H755" s="193"/>
      <c r="I755" s="44"/>
      <c r="J755" s="44"/>
      <c r="K755" s="45"/>
      <c r="L755" s="522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69"/>
      <c r="F756" s="167" t="s">
        <v>282</v>
      </c>
      <c r="G756" s="143"/>
      <c r="H756" s="133" t="s">
        <v>46</v>
      </c>
      <c r="I756" s="152">
        <f ca="1">IFERROR(__xludf.DUMMYFUNCTION("IMPORTRANGE(""https://docs.google.com/spreadsheets/d/1eHaY18a8A9IcSdp1K8H6x8fbOy06t2VsZHhMHf-1x7Y/edit?usp=sharing"",""แผน!GD79"")"),20)</f>
        <v>20</v>
      </c>
      <c r="J756" s="168">
        <v>0</v>
      </c>
      <c r="K756" s="46">
        <f ca="1">IF(I756&gt;0,J756*100/I756,0)</f>
        <v>0</v>
      </c>
      <c r="L756" s="522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138"/>
      <c r="B757" s="139"/>
      <c r="C757" s="139"/>
      <c r="D757" s="139"/>
      <c r="E757" s="169"/>
      <c r="F757" s="167" t="s">
        <v>283</v>
      </c>
      <c r="G757" s="143"/>
      <c r="H757" s="133" t="s">
        <v>46</v>
      </c>
      <c r="I757" s="44"/>
      <c r="J757" s="168">
        <v>0</v>
      </c>
      <c r="K757" s="45"/>
      <c r="L757" s="522"/>
      <c r="M757" s="45"/>
      <c r="N757" s="45"/>
      <c r="O757" s="45"/>
      <c r="P757" s="45"/>
      <c r="Q757" s="45"/>
      <c r="R757" s="45"/>
      <c r="S757" s="45"/>
      <c r="T757" s="45"/>
      <c r="U757" s="45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hidden="1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hidden="1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hidden="1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0</v>
      </c>
      <c r="R761" s="132">
        <f t="shared" ca="1" si="457"/>
        <v>0</v>
      </c>
      <c r="S761" s="132">
        <f t="shared" ca="1" si="457"/>
        <v>0</v>
      </c>
      <c r="T761" s="132">
        <f t="shared" ref="T761:T769" ca="1" si="458">IF(Q761&gt;0,S761*100/Q761,0)</f>
        <v>0</v>
      </c>
      <c r="U761" s="132">
        <f t="shared" ref="U761:U769" ca="1" si="459">IF(R761&gt;0,S761*100/R761,0)</f>
        <v>0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0</v>
      </c>
      <c r="R763" s="46">
        <f t="shared" ca="1" si="461"/>
        <v>0</v>
      </c>
      <c r="S763" s="46">
        <f t="shared" ca="1" si="461"/>
        <v>0</v>
      </c>
      <c r="T763" s="46">
        <f t="shared" ca="1" si="458"/>
        <v>0</v>
      </c>
      <c r="U763" s="46">
        <f t="shared" ca="1" si="459"/>
        <v>0</v>
      </c>
    </row>
    <row r="764" spans="1:21" ht="18.75" hidden="1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0</v>
      </c>
      <c r="R764" s="46">
        <f t="shared" ca="1" si="463"/>
        <v>0</v>
      </c>
      <c r="S764" s="46">
        <f t="shared" ca="1" si="463"/>
        <v>0</v>
      </c>
      <c r="T764" s="46">
        <f t="shared" ca="1" si="458"/>
        <v>0</v>
      </c>
      <c r="U764" s="46">
        <f t="shared" ca="1" si="459"/>
        <v>0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IFERROR(__xludf.DUMMYFUNCTION("IMPORTRANGE(""https://docs.google.com/spreadsheets/d/1ItG2mGa2ceCfYo0BwxsXqNm01IGEUdYcSSLTEv9YCik/edit?usp=sharing"",""เบิกจ่ายกองทุน!U79"")"),0)</f>
        <v>0</v>
      </c>
      <c r="R766" s="46">
        <f ca="1">IFERROR(__xludf.DUMMYFUNCTION("IMPORTRANGE(""https://docs.google.com/spreadsheets/d/1ItG2mGa2ceCfYo0BwxsXqNm01IGEUdYcSSLTEv9YCik/edit?usp=sharing"",""เบิกจ่ายกองทุน!V79"")"),0)</f>
        <v>0</v>
      </c>
      <c r="S766" s="46">
        <f ca="1">IFERROR(__xludf.DUMMYFUNCTION("IMPORTRANGE(""https://docs.google.com/spreadsheets/d/1ItG2mGa2ceCfYo0BwxsXqNm01IGEUdYcSSLTEv9YCik/edit?usp=sharing"",""เบิกจ่ายกองทุน!W79"")"),0)</f>
        <v>0</v>
      </c>
      <c r="T766" s="46">
        <f t="shared" ca="1" si="458"/>
        <v>0</v>
      </c>
      <c r="U766" s="46">
        <f t="shared" ca="1" si="459"/>
        <v>0</v>
      </c>
    </row>
    <row r="767" spans="1:21" ht="18.75" hidden="1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hidden="1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IFERROR(__xludf.DUMMYFUNCTION("IMPORTRANGE(""https://docs.google.com/spreadsheets/d/1eHaY18a8A9IcSdp1K8H6x8fbOy06t2VsZHhMHf-1x7Y/edit?usp=sharing"",""แผน!FI79"")"),0)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IFERROR(__xludf.DUMMYFUNCTION("IMPORTRANGE(""https://docs.google.com/spreadsheets/d/1eHaY18a8A9IcSdp1K8H6x8fbOy06t2VsZHhMHf-1x7Y/edit?usp=sharing"",""แผน!FQ79"")"),0)</f>
        <v>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IFERROR(__xludf.DUMMYFUNCTION("IMPORTRANGE(""https://docs.google.com/spreadsheets/d/1eHaY18a8A9IcSdp1K8H6x8fbOy06t2VsZHhMHf-1x7Y/edit?usp=sharing"",""แผน!FR79"")"),0)</f>
        <v>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IFERROR(__xludf.DUMMYFUNCTION("IMPORTRANGE(""https://docs.google.com/spreadsheets/d/1eHaY18a8A9IcSdp1K8H6x8fbOy06t2VsZHhMHf-1x7Y/edit?usp=sharing"",""แผน!FS79"")"),0)</f>
        <v>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hidden="1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IFERROR(__xludf.DUMMYFUNCTION("IMPORTRANGE(""https://docs.google.com/spreadsheets/d/1eHaY18a8A9IcSdp1K8H6x8fbOy06t2VsZHhMHf-1x7Y/edit?usp=sharing"",""แผน!FT79"")"),0)</f>
        <v>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9" s="152">
        <f ca="1">IFERROR(__xludf.DUMMYFUNCTION("IMPORTRANGE(""https://docs.google.com/spreadsheets/d/10OvvATaaLtwErnr3qtWFcTmtbfpFEt5Bsqel9sXx0uE/edit?usp=sharing"",""งานกองทุน!F79"")"),244579.95)</f>
        <v>244579.95</v>
      </c>
      <c r="K779" s="46">
        <f t="shared" ref="K779:K786" ca="1" si="466">IF(I779&gt;0,J779*100/I779,0)</f>
        <v>82.279939300281939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IFERROR(__xludf.DUMMYFUNCTION("IMPORTRANGE(""https://docs.google.com/spreadsheets/d/10OvvATaaLtwErnr3qtWFcTmtbfpFEt5Bsqel9sXx0uE/edit?usp=sharing"",""งานกองทุน!C79"")"),25)</f>
        <v>25</v>
      </c>
      <c r="J780" s="152">
        <f ca="1">IFERROR(__xludf.DUMMYFUNCTION("IMPORTRANGE(""https://docs.google.com/spreadsheets/d/10OvvATaaLtwErnr3qtWFcTmtbfpFEt5Bsqel9sXx0uE/edit?usp=sharing"",""งานกองทุน!E79"")"),28)</f>
        <v>28</v>
      </c>
      <c r="K780" s="46">
        <f t="shared" ca="1" si="466"/>
        <v>112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1" s="152">
        <f ca="1">IFERROR(__xludf.DUMMYFUNCTION("IMPORTRANGE(""https://docs.google.com/spreadsheets/d/10OvvATaaLtwErnr3qtWFcTmtbfpFEt5Bsqel9sXx0uE/edit?usp=sharing"",""งานกองทุน!K79"")"),7571.35)</f>
        <v>7571.35</v>
      </c>
      <c r="K781" s="46">
        <f t="shared" ca="1" si="466"/>
        <v>3.6528765012358222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IFERROR(__xludf.DUMMYFUNCTION("IMPORTRANGE(""https://docs.google.com/spreadsheets/d/10OvvATaaLtwErnr3qtWFcTmtbfpFEt5Bsqel9sXx0uE/edit?usp=sharing"",""งานกองทุน!H79"")"),7)</f>
        <v>7</v>
      </c>
      <c r="J782" s="152">
        <f ca="1">IFERROR(__xludf.DUMMYFUNCTION("IMPORTRANGE(""https://docs.google.com/spreadsheets/d/10OvvATaaLtwErnr3qtWFcTmtbfpFEt5Bsqel9sXx0uE/edit?usp=sharing"",""งานกองทุน!J79"")"),5)</f>
        <v>5</v>
      </c>
      <c r="K782" s="46">
        <f t="shared" ca="1" si="466"/>
        <v>71.428571428571431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IFERROR(__xludf.DUMMYFUNCTION("IMPORTRANGE(""https://docs.google.com/spreadsheets/d/10OvvATaaLtwErnr3qtWFcTmtbfpFEt5Bsqel9sXx0uE/edit?usp=sharing"",""งานกองทุน!N79"")"),134852.56)</f>
        <v>134852.56</v>
      </c>
      <c r="J783" s="152">
        <f ca="1">IFERROR(__xludf.DUMMYFUNCTION("IMPORTRANGE(""https://docs.google.com/spreadsheets/d/10OvvATaaLtwErnr3qtWFcTmtbfpFEt5Bsqel9sXx0uE/edit?usp=sharing"",""งานกองทุน!P79"")"),10669.34)</f>
        <v>10669.34</v>
      </c>
      <c r="K783" s="46">
        <f t="shared" ca="1" si="466"/>
        <v>7.911855733402466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IFERROR(__xludf.DUMMYFUNCTION("IMPORTRANGE(""https://docs.google.com/spreadsheets/d/10OvvATaaLtwErnr3qtWFcTmtbfpFEt5Bsqel9sXx0uE/edit?usp=sharing"",""งานกองทุน!M79"")"),227)</f>
        <v>227</v>
      </c>
      <c r="J784" s="152">
        <f ca="1">IFERROR(__xludf.DUMMYFUNCTION("IMPORTRANGE(""https://docs.google.com/spreadsheets/d/10OvvATaaLtwErnr3qtWFcTmtbfpFEt5Bsqel9sXx0uE/edit?usp=sharing"",""งานกองทุน!O79"")"),29)</f>
        <v>29</v>
      </c>
      <c r="K784" s="46">
        <f t="shared" ca="1" si="466"/>
        <v>12.775330396475772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IFERROR(__xludf.DUMMYFUNCTION("IMPORTRANGE(""https://docs.google.com/spreadsheets/d/10OvvATaaLtwErnr3qtWFcTmtbfpFEt5Bsqel9sXx0uE/edit?usp=sharing"",""งานกองทุน!S79"")"),392000)</f>
        <v>392000</v>
      </c>
      <c r="J785" s="152">
        <f ca="1">IFERROR(__xludf.DUMMYFUNCTION("IMPORTRANGE(""https://docs.google.com/spreadsheets/d/10OvvATaaLtwErnr3qtWFcTmtbfpFEt5Bsqel9sXx0uE/edit?usp=sharing"",""งานกองทุน!U79"")"),0)</f>
        <v>0</v>
      </c>
      <c r="K785" s="46">
        <f t="shared" ca="1" si="466"/>
        <v>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IFERROR(__xludf.DUMMYFUNCTION("IMPORTRANGE(""https://docs.google.com/spreadsheets/d/10OvvATaaLtwErnr3qtWFcTmtbfpFEt5Bsqel9sXx0uE/edit?usp=sharing"",""งานกองทุน!R79"")"),14)</f>
        <v>14</v>
      </c>
      <c r="J786" s="204">
        <f ca="1">IFERROR(__xludf.DUMMYFUNCTION("IMPORTRANGE(""https://docs.google.com/spreadsheets/d/10OvvATaaLtwErnr3qtWFcTmtbfpFEt5Bsqel9sXx0uE/edit?usp=sharing"",""งานกองทุน!T79"")"),0)</f>
        <v>0</v>
      </c>
      <c r="K786" s="110">
        <f t="shared" ca="1" si="466"/>
        <v>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2" fitToHeight="0" orientation="portrait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4183-EAA5-447A-B7F3-FDF822811D19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12.5703125" bestFit="1" customWidth="1"/>
    <col min="16" max="16" width="12" bestFit="1" customWidth="1"/>
    <col min="17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318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1411717</v>
      </c>
      <c r="M19" s="34">
        <f t="shared" ca="1" si="0"/>
        <v>1472848</v>
      </c>
      <c r="N19" s="34">
        <f t="shared" ca="1" si="0"/>
        <v>976286.57</v>
      </c>
      <c r="O19" s="34">
        <f t="shared" ref="O19:O27" ca="1" si="1">IF(L19&gt;0,N19*100/L19,0)</f>
        <v>69.155968937116995</v>
      </c>
      <c r="P19" s="34">
        <f t="shared" ref="P19:P27" ca="1" si="2">IF(M19&gt;0,N19*100/M19,0)</f>
        <v>66.285629610115905</v>
      </c>
      <c r="Q19" s="34">
        <f t="shared" ref="Q19:S19" ca="1" si="3">Q20+Q21</f>
        <v>620867.99</v>
      </c>
      <c r="R19" s="34">
        <f t="shared" ca="1" si="3"/>
        <v>622118</v>
      </c>
      <c r="S19" s="34">
        <f t="shared" ca="1" si="3"/>
        <v>153320</v>
      </c>
      <c r="T19" s="34">
        <f t="shared" ref="T19:T27" ca="1" si="4">IF(Q19&gt;0,S19*100/Q19,0)</f>
        <v>24.694460411785766</v>
      </c>
      <c r="U19" s="34">
        <f t="shared" ref="U19:U27" ca="1" si="5">IF(R19&gt;0,S19*100/R19,0)</f>
        <v>24.644842296798998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1411717</v>
      </c>
      <c r="M21" s="38">
        <f t="shared" ca="1" si="6"/>
        <v>1472848</v>
      </c>
      <c r="N21" s="38">
        <f t="shared" ca="1" si="6"/>
        <v>976286.57</v>
      </c>
      <c r="O21" s="38">
        <f t="shared" ca="1" si="1"/>
        <v>69.155968937116995</v>
      </c>
      <c r="P21" s="38">
        <f t="shared" ca="1" si="2"/>
        <v>66.285629610115905</v>
      </c>
      <c r="Q21" s="38">
        <f t="shared" ca="1" si="7"/>
        <v>620867.99</v>
      </c>
      <c r="R21" s="38">
        <f t="shared" ca="1" si="7"/>
        <v>622118</v>
      </c>
      <c r="S21" s="38">
        <f t="shared" ca="1" si="7"/>
        <v>153320</v>
      </c>
      <c r="T21" s="38">
        <f t="shared" ca="1" si="4"/>
        <v>24.694460411785766</v>
      </c>
      <c r="U21" s="38">
        <f t="shared" ca="1" si="5"/>
        <v>24.644842296798998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1411717</v>
      </c>
      <c r="M22" s="46">
        <f t="shared" ca="1" si="8"/>
        <v>1472848</v>
      </c>
      <c r="N22" s="46">
        <f t="shared" ca="1" si="8"/>
        <v>976286.57</v>
      </c>
      <c r="O22" s="46">
        <f t="shared" ca="1" si="1"/>
        <v>69.155968937116995</v>
      </c>
      <c r="P22" s="46">
        <f t="shared" ca="1" si="2"/>
        <v>66.285629610115905</v>
      </c>
      <c r="Q22" s="46">
        <f t="shared" ref="Q22:S22" ca="1" si="9">Q23+Q24</f>
        <v>620867.99</v>
      </c>
      <c r="R22" s="46">
        <f t="shared" ca="1" si="9"/>
        <v>622118</v>
      </c>
      <c r="S22" s="46">
        <f t="shared" ca="1" si="9"/>
        <v>153320</v>
      </c>
      <c r="T22" s="46">
        <f t="shared" ca="1" si="4"/>
        <v>24.694460411785766</v>
      </c>
      <c r="U22" s="46">
        <f t="shared" ca="1" si="5"/>
        <v>24.644842296798998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1411717</v>
      </c>
      <c r="M24" s="46">
        <f t="shared" ca="1" si="10"/>
        <v>1472848</v>
      </c>
      <c r="N24" s="46">
        <f t="shared" ca="1" si="10"/>
        <v>976286.57</v>
      </c>
      <c r="O24" s="46">
        <f t="shared" ca="1" si="1"/>
        <v>69.155968937116995</v>
      </c>
      <c r="P24" s="46">
        <f t="shared" ca="1" si="2"/>
        <v>66.285629610115905</v>
      </c>
      <c r="Q24" s="46">
        <f t="shared" ca="1" si="11"/>
        <v>620867.99</v>
      </c>
      <c r="R24" s="46">
        <f t="shared" ca="1" si="11"/>
        <v>622118</v>
      </c>
      <c r="S24" s="46">
        <f t="shared" ca="1" si="11"/>
        <v>153320</v>
      </c>
      <c r="T24" s="46">
        <f t="shared" ca="1" si="4"/>
        <v>24.694460411785766</v>
      </c>
      <c r="U24" s="46">
        <f t="shared" ca="1" si="5"/>
        <v>24.644842296798998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1411717</v>
      </c>
      <c r="M41" s="525">
        <f t="shared" ca="1" si="16"/>
        <v>1472848</v>
      </c>
      <c r="N41" s="525">
        <f t="shared" ca="1" si="16"/>
        <v>976286.57</v>
      </c>
      <c r="O41" s="525">
        <f ca="1">IF(L41&gt;0,N41*100/L41,0)</f>
        <v>69.155968937116995</v>
      </c>
      <c r="P41" s="525">
        <f ca="1">IF(M41&gt;0,N41*100/M41,0)</f>
        <v>66.285629610115905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262457</v>
      </c>
      <c r="M45" s="78">
        <f t="shared" ca="1" si="17"/>
        <v>292348</v>
      </c>
      <c r="N45" s="78">
        <f t="shared" ca="1" si="17"/>
        <v>190395.23</v>
      </c>
      <c r="O45" s="78">
        <f t="shared" ref="O45:O53" ca="1" si="18">IF(L45&gt;0,N45*100/L45,0)</f>
        <v>72.543399490202205</v>
      </c>
      <c r="P45" s="78">
        <f t="shared" ref="P45:P53" ca="1" si="19">IF(M45&gt;0,N45*100/M45,0)</f>
        <v>65.126229698852057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262457</v>
      </c>
      <c r="M47" s="82">
        <f t="shared" ca="1" si="23"/>
        <v>292348</v>
      </c>
      <c r="N47" s="82">
        <f t="shared" ca="1" si="23"/>
        <v>190395.23</v>
      </c>
      <c r="O47" s="82">
        <f t="shared" ca="1" si="18"/>
        <v>72.543399490202205</v>
      </c>
      <c r="P47" s="82">
        <f t="shared" ca="1" si="19"/>
        <v>65.126229698852057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262457</v>
      </c>
      <c r="M48" s="46">
        <f t="shared" ca="1" si="25"/>
        <v>292348</v>
      </c>
      <c r="N48" s="46">
        <f t="shared" ca="1" si="25"/>
        <v>190395.23</v>
      </c>
      <c r="O48" s="46">
        <f t="shared" ca="1" si="18"/>
        <v>72.543399490202205</v>
      </c>
      <c r="P48" s="46">
        <f t="shared" ca="1" si="19"/>
        <v>65.126229698852057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IFERROR(__xludf.DUMMYFUNCTION("IMPORTRANGE(""https://docs.google.com/spreadsheets/d/1-uDff_7J0KD5mKrp0Vvzr7lt3OU09vwQwhkpOPPYv2Y/edit?usp=sharing"",""งบพรบ!P80"")"),262457)</f>
        <v>262457</v>
      </c>
      <c r="M50" s="46">
        <f ca="1">IFERROR(__xludf.DUMMYFUNCTION("IMPORTRANGE(""https://docs.google.com/spreadsheets/d/1-uDff_7J0KD5mKrp0Vvzr7lt3OU09vwQwhkpOPPYv2Y/edit?usp=sharing"",""งบพรบ!V80"")"),292348)</f>
        <v>292348</v>
      </c>
      <c r="N50" s="46">
        <f ca="1">IFERROR(__xludf.DUMMYFUNCTION("IMPORTRANGE(""https://docs.google.com/spreadsheets/d/1-uDff_7J0KD5mKrp0Vvzr7lt3OU09vwQwhkpOPPYv2Y/edit?usp=sharing"",""งบพรบ!Y80"")"),190395.23)</f>
        <v>190395.23</v>
      </c>
      <c r="O50" s="46">
        <f t="shared" ca="1" si="18"/>
        <v>72.543399490202205</v>
      </c>
      <c r="P50" s="46">
        <f t="shared" ca="1" si="19"/>
        <v>65.126229698852057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IFERROR(__xludf.DUMMYFUNCTION("IMPORTRANGE(""https://docs.google.com/spreadsheets/d/1-uDff_7J0KD5mKrp0Vvzr7lt3OU09vwQwhkpOPPYv2Y/edit?usp=sharing"",""งบพรบ!S80"")"),0)</f>
        <v>0</v>
      </c>
      <c r="M53" s="46">
        <f ca="1">IFERROR(__xludf.DUMMYFUNCTION("IMPORTRANGE(""https://docs.google.com/spreadsheets/d/1-uDff_7J0KD5mKrp0Vvzr7lt3OU09vwQwhkpOPPYv2Y/edit?usp=sharing"",""งบพรบ!W80"")"),0)</f>
        <v>0</v>
      </c>
      <c r="N53" s="46">
        <f ca="1">IFERROR(__xludf.DUMMYFUNCTION("IMPORTRANGE(""https://docs.google.com/spreadsheets/d/1-uDff_7J0KD5mKrp0Vvzr7lt3OU09vwQwhkpOPPYv2Y/edit?usp=sharing"",""งบพรบ!Z80"")"),0)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390000</v>
      </c>
      <c r="M60" s="105">
        <f t="shared" ca="1" si="29"/>
        <v>390000</v>
      </c>
      <c r="N60" s="105">
        <f t="shared" ca="1" si="29"/>
        <v>250036.12</v>
      </c>
      <c r="O60" s="105">
        <f t="shared" ref="O60:O68" ca="1" si="30">IF(L60&gt;0,N60*100/L60,0)</f>
        <v>64.111825641025646</v>
      </c>
      <c r="P60" s="105">
        <f t="shared" ref="P60:P68" ca="1" si="31">IF(M60&gt;0,N60*100/M60,0)</f>
        <v>64.111825641025646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390000</v>
      </c>
      <c r="M62" s="108">
        <f t="shared" ca="1" si="35"/>
        <v>390000</v>
      </c>
      <c r="N62" s="108">
        <f t="shared" ca="1" si="35"/>
        <v>250036.12</v>
      </c>
      <c r="O62" s="108">
        <f t="shared" ca="1" si="30"/>
        <v>64.111825641025646</v>
      </c>
      <c r="P62" s="108">
        <f t="shared" ca="1" si="31"/>
        <v>64.111825641025646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390000</v>
      </c>
      <c r="M63" s="46">
        <f t="shared" ca="1" si="37"/>
        <v>390000</v>
      </c>
      <c r="N63" s="46">
        <f t="shared" ca="1" si="37"/>
        <v>250036.12</v>
      </c>
      <c r="O63" s="46">
        <f t="shared" ca="1" si="30"/>
        <v>64.111825641025646</v>
      </c>
      <c r="P63" s="46">
        <f t="shared" ca="1" si="31"/>
        <v>64.111825641025646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IFERROR(__xludf.DUMMYFUNCTION("IMPORTRANGE(""https://docs.google.com/spreadsheets/d/1-uDff_7J0KD5mKrp0Vvzr7lt3OU09vwQwhkpOPPYv2Y/edit?usp=sharing"",""งบพรบ!AC80"")"),390000)</f>
        <v>390000</v>
      </c>
      <c r="M65" s="46">
        <f ca="1">IFERROR(__xludf.DUMMYFUNCTION("IMPORTRANGE(""https://docs.google.com/spreadsheets/d/1-uDff_7J0KD5mKrp0Vvzr7lt3OU09vwQwhkpOPPYv2Y/edit?usp=sharing"",""งบพรบ!AH80"")"),390000)</f>
        <v>390000</v>
      </c>
      <c r="N65" s="46">
        <f ca="1">IFERROR(__xludf.DUMMYFUNCTION("IMPORTRANGE(""https://docs.google.com/spreadsheets/d/1-uDff_7J0KD5mKrp0Vvzr7lt3OU09vwQwhkpOPPYv2Y/edit?usp=sharing"",""งบพรบ!AJ80"")"),250036.12)</f>
        <v>250036.12</v>
      </c>
      <c r="O65" s="46">
        <f t="shared" ca="1" si="30"/>
        <v>64.111825641025646</v>
      </c>
      <c r="P65" s="46">
        <f t="shared" ca="1" si="31"/>
        <v>64.111825641025646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IFERROR(__xludf.DUMMYFUNCTION("IMPORTRANGE(""https://docs.google.com/spreadsheets/d/1-uDff_7J0KD5mKrp0Vvzr7lt3OU09vwQwhkpOPPYv2Y/edit?usp=sharing"",""งบพรบ!AF80"")"),0)</f>
        <v>0</v>
      </c>
      <c r="M68" s="110">
        <f ca="1">IFERROR(__xludf.DUMMYFUNCTION("IMPORTRANGE(""https://docs.google.com/spreadsheets/d/1-uDff_7J0KD5mKrp0Vvzr7lt3OU09vwQwhkpOPPYv2Y/edit?usp=sharing"",""งบพรบ!AI80"")"),0)</f>
        <v>0</v>
      </c>
      <c r="N68" s="110">
        <f ca="1">IFERROR(__xludf.DUMMYFUNCTION("IMPORTRANGE(""https://docs.google.com/spreadsheets/d/1-uDff_7J0KD5mKrp0Vvzr7lt3OU09vwQwhkpOPPYv2Y/edit?usp=sharing"",""งบพรบ!AK80"")"),0)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IFERROR(__xludf.DUMMYFUNCTION("IMPORTRANGE(""https://docs.google.com/spreadsheets/d/1-uDff_7J0KD5mKrp0Vvzr7lt3OU09vwQwhkpOPPYv2Y/edit?usp=sharing"",""งบพรบ!AM80"")"),0)</f>
        <v>0</v>
      </c>
      <c r="M78" s="46">
        <f ca="1">IFERROR(__xludf.DUMMYFUNCTION("IMPORTRANGE(""https://docs.google.com/spreadsheets/d/1-uDff_7J0KD5mKrp0Vvzr7lt3OU09vwQwhkpOPPYv2Y/edit?usp=sharing"",""งบพรบ!AR80"")"),0)</f>
        <v>0</v>
      </c>
      <c r="N78" s="46">
        <f ca="1">IFERROR(__xludf.DUMMYFUNCTION("IMPORTRANGE(""https://docs.google.com/spreadsheets/d/1-uDff_7J0KD5mKrp0Vvzr7lt3OU09vwQwhkpOPPYv2Y/edit?usp=sharing"",""งบพรบ!AT80"")"),0)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IFERROR(__xludf.DUMMYFUNCTION("IMPORTRANGE(""https://docs.google.com/spreadsheets/d/1ItG2mGa2ceCfYo0BwxsXqNm01IGEUdYcSSLTEv9YCik/edit?usp=sharing"",""เบิกจ่ายกองทุน!AS80"")"),0)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IFERROR(__xludf.DUMMYFUNCTION("IMPORTRANGE(""https://docs.google.com/spreadsheets/d/1ItG2mGa2ceCfYo0BwxsXqNm01IGEUdYcSSLTEv9YCik/edit?usp=sharing"",""เบิกจ่ายกองทุน!AT80"")"),0)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IFERROR(__xludf.DUMMYFUNCTION("IMPORTRANGE(""https://docs.google.com/spreadsheets/d/1ItG2mGa2ceCfYo0BwxsXqNm01IGEUdYcSSLTEv9YCik/edit?usp=sharing"",""เบิกจ่ายกองทุน!AU80"")"),0)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IFERROR(__xludf.DUMMYFUNCTION("IMPORTRANGE(""https://docs.google.com/spreadsheets/d/1-uDff_7J0KD5mKrp0Vvzr7lt3OU09vwQwhkpOPPYv2Y/edit?usp=sharing"",""งบพรบ!AP80"")"),0)</f>
        <v>0</v>
      </c>
      <c r="M81" s="46">
        <f ca="1">IFERROR(__xludf.DUMMYFUNCTION("IMPORTRANGE(""https://docs.google.com/spreadsheets/d/1-uDff_7J0KD5mKrp0Vvzr7lt3OU09vwQwhkpOPPYv2Y/edit?usp=sharing"",""งบพรบ!AS80"")"),0)</f>
        <v>0</v>
      </c>
      <c r="N81" s="46">
        <f ca="1">IFERROR(__xludf.DUMMYFUNCTION("IMPORTRANGE(""https://docs.google.com/spreadsheets/d/1-uDff_7J0KD5mKrp0Vvzr7lt3OU09vwQwhkpOPPYv2Y/edit?usp=sharing"",""งบพรบ!AU80"")"),0)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IFERROR(__xludf.DUMMYFUNCTION("IMPORTRANGE(""https://docs.google.com/spreadsheets/d/1eHaY18a8A9IcSdp1K8H6x8fbOy06t2VsZHhMHf-1x7Y/edit?usp=sharing"",""แผน!H80"")"),0)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IFERROR(__xludf.DUMMYFUNCTION("IMPORTRANGE(""https://docs.google.com/spreadsheets/d/1eHaY18a8A9IcSdp1K8H6x8fbOy06t2VsZHhMHf-1x7Y/edit?usp=sharing"",""แผน!I80"")"),0)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IFERROR(__xludf.DUMMYFUNCTION("IMPORTRANGE(""https://docs.google.com/spreadsheets/d/1eHaY18a8A9IcSdp1K8H6x8fbOy06t2VsZHhMHf-1x7Y/edit?usp=sharing"",""แผน!F80"")"),0)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IFERROR(__xludf.DUMMYFUNCTION("IMPORTRANGE(""https://docs.google.com/spreadsheets/d/1eHaY18a8A9IcSdp1K8H6x8fbOy06t2VsZHhMHf-1x7Y/edit?usp=sharing"",""แผน!G80"")"),0)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IFERROR(__xludf.DUMMYFUNCTION("IMPORTRANGE(""https://docs.google.com/spreadsheets/d/1eHaY18a8A9IcSdp1K8H6x8fbOy06t2VsZHhMHf-1x7Y/edit?usp=sharing"",""แผน!D80"")"),0)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IFERROR(__xludf.DUMMYFUNCTION("IMPORTRANGE(""https://docs.google.com/spreadsheets/d/1eHaY18a8A9IcSdp1K8H6x8fbOy06t2VsZHhMHf-1x7Y/edit?usp=sharing"",""แผน!E80"")"),0)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IFERROR(__xludf.DUMMYFUNCTION("IMPORTRANGE(""https://docs.google.com/spreadsheets/d/1eHaY18a8A9IcSdp1K8H6x8fbOy06t2VsZHhMHf-1x7Y/edit?usp=sharing"",""แผน!J80"")"),0)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hidden="1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0</v>
      </c>
      <c r="R95" s="132">
        <f t="shared" ca="1" si="62"/>
        <v>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0</v>
      </c>
      <c r="R97" s="46">
        <f t="shared" ca="1" si="66"/>
        <v>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hidden="1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0</v>
      </c>
      <c r="R98" s="46">
        <f t="shared" ca="1" si="68"/>
        <v>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IFERROR(__xludf.DUMMYFUNCTION("IMPORTRANGE(""https://docs.google.com/spreadsheets/d/1-uDff_7J0KD5mKrp0Vvzr7lt3OU09vwQwhkpOPPYv2Y/edit?usp=sharing"",""งบพรบ!AW80"")"),0)</f>
        <v>0</v>
      </c>
      <c r="M100" s="46">
        <f ca="1">IFERROR(__xludf.DUMMYFUNCTION("IMPORTRANGE(""https://docs.google.com/spreadsheets/d/1-uDff_7J0KD5mKrp0Vvzr7lt3OU09vwQwhkpOPPYv2Y/edit?usp=sharing"",""งบพรบ!BB80"")"),0)</f>
        <v>0</v>
      </c>
      <c r="N100" s="46">
        <f ca="1">IFERROR(__xludf.DUMMYFUNCTION("IMPORTRANGE(""https://docs.google.com/spreadsheets/d/1-uDff_7J0KD5mKrp0Vvzr7lt3OU09vwQwhkpOPPYv2Y/edit?usp=sharing"",""งบพรบ!BD80"")"),0)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IFERROR(__xludf.DUMMYFUNCTION("IMPORTRANGE(""https://docs.google.com/spreadsheets/d/1ItG2mGa2ceCfYo0BwxsXqNm01IGEUdYcSSLTEv9YCik/edit?usp=sharing"",""เบิกจ่ายกองทุน!AD80"")"),0)</f>
        <v>0</v>
      </c>
      <c r="R100" s="46">
        <f ca="1">IFERROR(__xludf.DUMMYFUNCTION("IMPORTRANGE(""https://docs.google.com/spreadsheets/d/1ItG2mGa2ceCfYo0BwxsXqNm01IGEUdYcSSLTEv9YCik/edit?usp=sharing"",""เบิกจ่ายกองทุน!AE80"")"),0)</f>
        <v>0</v>
      </c>
      <c r="S100" s="46">
        <f ca="1">IFERROR(__xludf.DUMMYFUNCTION("IMPORTRANGE(""https://docs.google.com/spreadsheets/d/1ItG2mGa2ceCfYo0BwxsXqNm01IGEUdYcSSLTEv9YCik/edit?usp=sharing"",""เบิกจ่ายกองทุน!AF80"")"),0)</f>
        <v>0</v>
      </c>
      <c r="T100" s="46">
        <f t="shared" ca="1" si="63"/>
        <v>0</v>
      </c>
      <c r="U100" s="46">
        <f t="shared" ca="1" si="64"/>
        <v>0</v>
      </c>
    </row>
    <row r="101" spans="1:21" ht="18.75" hidden="1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IFERROR(__xludf.DUMMYFUNCTION("IMPORTRANGE(""https://docs.google.com/spreadsheets/d/1-uDff_7J0KD5mKrp0Vvzr7lt3OU09vwQwhkpOPPYv2Y/edit?usp=sharing"",""งบพรบ!AZ80"")"),0)</f>
        <v>0</v>
      </c>
      <c r="M103" s="46">
        <f ca="1">IFERROR(__xludf.DUMMYFUNCTION("IMPORTRANGE(""https://docs.google.com/spreadsheets/d/1-uDff_7J0KD5mKrp0Vvzr7lt3OU09vwQwhkpOPPYv2Y/edit?usp=sharing"",""งบพรบ!BC80"")"),0)</f>
        <v>0</v>
      </c>
      <c r="N103" s="46">
        <f ca="1">IFERROR(__xludf.DUMMYFUNCTION("IMPORTRANGE(""https://docs.google.com/spreadsheets/d/1-uDff_7J0KD5mKrp0Vvzr7lt3OU09vwQwhkpOPPYv2Y/edit?usp=sharing"",""งบพรบ!BE80"")"),0)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hidden="1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IFERROR(__xludf.DUMMYFUNCTION("IMPORTRANGE(""https://docs.google.com/spreadsheets/d/1eHaY18a8A9IcSdp1K8H6x8fbOy06t2VsZHhMHf-1x7Y/edit?usp=sharing"",""แผน!N80"")"),0)</f>
        <v>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hidden="1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IFERROR(__xludf.DUMMYFUNCTION("IMPORTRANGE(""https://docs.google.com/spreadsheets/d/1eHaY18a8A9IcSdp1K8H6x8fbOy06t2VsZHhMHf-1x7Y/edit?usp=sharing"",""แผน!O80"")"),0)</f>
        <v>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2.75" hidden="1" x14ac:dyDescent="0.2">
      <c r="A114" s="163"/>
      <c r="B114" s="164"/>
      <c r="C114" s="164"/>
      <c r="D114" s="18"/>
      <c r="E114" s="18"/>
      <c r="F114" s="18"/>
      <c r="G114" s="19"/>
      <c r="H114" s="19"/>
      <c r="I114" s="20">
        <v>0</v>
      </c>
      <c r="J114" s="20">
        <v>0</v>
      </c>
      <c r="K114" s="21"/>
      <c r="L114" s="512"/>
      <c r="M114" s="21"/>
      <c r="N114" s="21"/>
      <c r="O114" s="21"/>
      <c r="P114" s="21"/>
      <c r="Q114" s="21"/>
      <c r="R114" s="21"/>
      <c r="S114" s="21"/>
      <c r="T114" s="21"/>
      <c r="U114" s="21"/>
    </row>
    <row r="115" spans="1:21" ht="18.75" hidden="1" x14ac:dyDescent="0.25">
      <c r="A115" s="138"/>
      <c r="B115" s="139"/>
      <c r="C115" s="139"/>
      <c r="D115" s="167" t="s">
        <v>50</v>
      </c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IFERROR(__xludf.DUMMYFUNCTION("IMPORTRANGE(""https://docs.google.com/spreadsheets/d/1eHaY18a8A9IcSdp1K8H6x8fbOy06t2VsZHhMHf-1x7Y/edit?usp=sharing"",""แผน!R80"")"),0)</f>
        <v>0</v>
      </c>
      <c r="J115" s="168">
        <v>0</v>
      </c>
      <c r="K115" s="46">
        <f ca="1">IF(I115&gt;0,J115*100/I115,0)</f>
        <v>0</v>
      </c>
      <c r="L115" s="522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2">I128</f>
        <v>10</v>
      </c>
      <c r="J117" s="127">
        <f t="shared" si="72"/>
        <v>10</v>
      </c>
      <c r="K117" s="34">
        <f ca="1">IF(I117&gt;0,J117*100/I117,0)</f>
        <v>100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3">L119+L120</f>
        <v>0</v>
      </c>
      <c r="M118" s="132">
        <f t="shared" ca="1" si="73"/>
        <v>0</v>
      </c>
      <c r="N118" s="132">
        <f t="shared" ca="1" si="73"/>
        <v>0</v>
      </c>
      <c r="O118" s="132">
        <f t="shared" ref="O118:O126" ca="1" si="74">IF(L118&gt;0,N118*100/L118,0)</f>
        <v>0</v>
      </c>
      <c r="P118" s="132">
        <f t="shared" ref="P118:P126" ca="1" si="75">IF(M118&gt;0,N118*100/M118,0)</f>
        <v>0</v>
      </c>
      <c r="Q118" s="132">
        <f t="shared" ref="Q118:S118" ca="1" si="76">Q119+Q120</f>
        <v>173660</v>
      </c>
      <c r="R118" s="132">
        <f t="shared" ca="1" si="76"/>
        <v>173660</v>
      </c>
      <c r="S118" s="132">
        <f t="shared" ca="1" si="76"/>
        <v>62900</v>
      </c>
      <c r="T118" s="132">
        <f t="shared" ref="T118:T126" ca="1" si="77">IF(Q118&gt;0,S118*100/Q118,0)</f>
        <v>36.220200391569733</v>
      </c>
      <c r="U118" s="132">
        <f t="shared" ref="U118:U126" ca="1" si="78">IF(R118&gt;0,S118*100/R118,0)</f>
        <v>36.220200391569733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79">L122+L125</f>
        <v>0</v>
      </c>
      <c r="M119" s="48">
        <f t="shared" si="79"/>
        <v>0</v>
      </c>
      <c r="N119" s="48">
        <f t="shared" si="79"/>
        <v>0</v>
      </c>
      <c r="O119" s="48">
        <f t="shared" si="74"/>
        <v>0</v>
      </c>
      <c r="P119" s="48">
        <f t="shared" si="75"/>
        <v>0</v>
      </c>
      <c r="Q119" s="48">
        <f t="shared" ref="Q119:S120" si="80">Q122+Q125</f>
        <v>0</v>
      </c>
      <c r="R119" s="48">
        <f t="shared" si="80"/>
        <v>0</v>
      </c>
      <c r="S119" s="48">
        <f t="shared" si="80"/>
        <v>0</v>
      </c>
      <c r="T119" s="48">
        <f t="shared" si="77"/>
        <v>0</v>
      </c>
      <c r="U119" s="48">
        <f t="shared" si="78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79"/>
        <v>0</v>
      </c>
      <c r="M120" s="46">
        <f t="shared" ca="1" si="79"/>
        <v>0</v>
      </c>
      <c r="N120" s="46">
        <f t="shared" ca="1" si="79"/>
        <v>0</v>
      </c>
      <c r="O120" s="46">
        <f t="shared" ca="1" si="74"/>
        <v>0</v>
      </c>
      <c r="P120" s="46">
        <f t="shared" ca="1" si="75"/>
        <v>0</v>
      </c>
      <c r="Q120" s="46">
        <f t="shared" ca="1" si="80"/>
        <v>173660</v>
      </c>
      <c r="R120" s="46">
        <f t="shared" ca="1" si="80"/>
        <v>173660</v>
      </c>
      <c r="S120" s="46">
        <f t="shared" ca="1" si="80"/>
        <v>62900</v>
      </c>
      <c r="T120" s="46">
        <f t="shared" ca="1" si="77"/>
        <v>36.220200391569733</v>
      </c>
      <c r="U120" s="46">
        <f t="shared" ca="1" si="78"/>
        <v>36.220200391569733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1">L122+L123</f>
        <v>0</v>
      </c>
      <c r="M121" s="46">
        <f t="shared" ca="1" si="81"/>
        <v>0</v>
      </c>
      <c r="N121" s="46">
        <f t="shared" ca="1" si="81"/>
        <v>0</v>
      </c>
      <c r="O121" s="46">
        <f t="shared" ca="1" si="74"/>
        <v>0</v>
      </c>
      <c r="P121" s="46">
        <f t="shared" ca="1" si="75"/>
        <v>0</v>
      </c>
      <c r="Q121" s="46">
        <f t="shared" ref="Q121:S121" ca="1" si="82">Q122+Q123</f>
        <v>173660</v>
      </c>
      <c r="R121" s="46">
        <f t="shared" ca="1" si="82"/>
        <v>173660</v>
      </c>
      <c r="S121" s="46">
        <f t="shared" ca="1" si="82"/>
        <v>62900</v>
      </c>
      <c r="T121" s="46">
        <f t="shared" ca="1" si="77"/>
        <v>36.220200391569733</v>
      </c>
      <c r="U121" s="46">
        <f t="shared" ca="1" si="78"/>
        <v>36.220200391569733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4"/>
        <v>0</v>
      </c>
      <c r="P122" s="48">
        <f t="shared" si="75"/>
        <v>0</v>
      </c>
      <c r="Q122" s="48">
        <v>0</v>
      </c>
      <c r="R122" s="48">
        <v>0</v>
      </c>
      <c r="S122" s="48">
        <v>0</v>
      </c>
      <c r="T122" s="48">
        <f t="shared" si="77"/>
        <v>0</v>
      </c>
      <c r="U122" s="48">
        <f t="shared" si="78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IFERROR(__xludf.DUMMYFUNCTION("IMPORTRANGE(""https://docs.google.com/spreadsheets/d/1-uDff_7J0KD5mKrp0Vvzr7lt3OU09vwQwhkpOPPYv2Y/edit?usp=sharing"",""งบพรบ!BG80"")"),0)</f>
        <v>0</v>
      </c>
      <c r="M123" s="46">
        <f ca="1">IFERROR(__xludf.DUMMYFUNCTION("IMPORTRANGE(""https://docs.google.com/spreadsheets/d/1-uDff_7J0KD5mKrp0Vvzr7lt3OU09vwQwhkpOPPYv2Y/edit?usp=sharing"",""งบพรบ!BL80"")"),0)</f>
        <v>0</v>
      </c>
      <c r="N123" s="46">
        <f ca="1">IFERROR(__xludf.DUMMYFUNCTION("IMPORTRANGE(""https://docs.google.com/spreadsheets/d/1-uDff_7J0KD5mKrp0Vvzr7lt3OU09vwQwhkpOPPYv2Y/edit?usp=sharing"",""งบพรบ!BN80"")"),0)</f>
        <v>0</v>
      </c>
      <c r="O123" s="46">
        <f t="shared" ca="1" si="74"/>
        <v>0</v>
      </c>
      <c r="P123" s="46">
        <f t="shared" ca="1" si="75"/>
        <v>0</v>
      </c>
      <c r="Q123" s="46">
        <f ca="1">IFERROR(__xludf.DUMMYFUNCTION("IMPORTRANGE(""https://docs.google.com/spreadsheets/d/1ItG2mGa2ceCfYo0BwxsXqNm01IGEUdYcSSLTEv9YCik/edit?usp=sharing"",""เบิกจ่ายกองทุน!R80"")"),173660)</f>
        <v>173660</v>
      </c>
      <c r="R123" s="46">
        <f ca="1">IFERROR(__xludf.DUMMYFUNCTION("IMPORTRANGE(""https://docs.google.com/spreadsheets/d/1ItG2mGa2ceCfYo0BwxsXqNm01IGEUdYcSSLTEv9YCik/edit?usp=sharing"",""เบิกจ่ายกองทุน!S80"")"),173660)</f>
        <v>173660</v>
      </c>
      <c r="S123" s="46">
        <f ca="1">IFERROR(__xludf.DUMMYFUNCTION("IMPORTRANGE(""https://docs.google.com/spreadsheets/d/1ItG2mGa2ceCfYo0BwxsXqNm01IGEUdYcSSLTEv9YCik/edit?usp=sharing"",""เบิกจ่ายกองทุน!T80"")"),62900)</f>
        <v>62900</v>
      </c>
      <c r="T123" s="46">
        <f t="shared" ca="1" si="77"/>
        <v>36.220200391569733</v>
      </c>
      <c r="U123" s="46">
        <f t="shared" ca="1" si="78"/>
        <v>36.220200391569733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3">L125+L126</f>
        <v>0</v>
      </c>
      <c r="M124" s="46">
        <f t="shared" ca="1" si="83"/>
        <v>0</v>
      </c>
      <c r="N124" s="46">
        <f t="shared" ca="1" si="83"/>
        <v>0</v>
      </c>
      <c r="O124" s="46">
        <f t="shared" ca="1" si="74"/>
        <v>0</v>
      </c>
      <c r="P124" s="46">
        <f t="shared" ca="1" si="75"/>
        <v>0</v>
      </c>
      <c r="Q124" s="46">
        <f t="shared" ref="Q124:S124" si="84">Q125+Q126</f>
        <v>0</v>
      </c>
      <c r="R124" s="46">
        <f t="shared" si="84"/>
        <v>0</v>
      </c>
      <c r="S124" s="46">
        <f t="shared" si="84"/>
        <v>0</v>
      </c>
      <c r="T124" s="46">
        <f t="shared" si="77"/>
        <v>0</v>
      </c>
      <c r="U124" s="46">
        <f t="shared" si="78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4"/>
        <v>0</v>
      </c>
      <c r="P125" s="48">
        <f t="shared" si="75"/>
        <v>0</v>
      </c>
      <c r="Q125" s="48">
        <v>0</v>
      </c>
      <c r="R125" s="48">
        <v>0</v>
      </c>
      <c r="S125" s="48">
        <v>0</v>
      </c>
      <c r="T125" s="48">
        <f t="shared" si="77"/>
        <v>0</v>
      </c>
      <c r="U125" s="48">
        <f t="shared" si="78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IFERROR(__xludf.DUMMYFUNCTION("IMPORTRANGE(""https://docs.google.com/spreadsheets/d/1-uDff_7J0KD5mKrp0Vvzr7lt3OU09vwQwhkpOPPYv2Y/edit?usp=sharing"",""งบพรบ!BJ80"")"),0)</f>
        <v>0</v>
      </c>
      <c r="M126" s="46">
        <f ca="1">IFERROR(__xludf.DUMMYFUNCTION("IMPORTRANGE(""https://docs.google.com/spreadsheets/d/1-uDff_7J0KD5mKrp0Vvzr7lt3OU09vwQwhkpOPPYv2Y/edit?usp=sharing"",""งบพรบ!BM80"")"),0)</f>
        <v>0</v>
      </c>
      <c r="N126" s="46">
        <f ca="1">IFERROR(__xludf.DUMMYFUNCTION("IMPORTRANGE(""https://docs.google.com/spreadsheets/d/1-uDff_7J0KD5mKrp0Vvzr7lt3OU09vwQwhkpOPPYv2Y/edit?usp=sharing"",""งบพรบ!BO80"")"),0)</f>
        <v>0</v>
      </c>
      <c r="O126" s="46">
        <f t="shared" ca="1" si="74"/>
        <v>0</v>
      </c>
      <c r="P126" s="46">
        <f t="shared" ca="1" si="75"/>
        <v>0</v>
      </c>
      <c r="Q126" s="46">
        <v>0</v>
      </c>
      <c r="R126" s="46">
        <v>0</v>
      </c>
      <c r="S126" s="46">
        <v>0</v>
      </c>
      <c r="T126" s="46">
        <f t="shared" si="77"/>
        <v>0</v>
      </c>
      <c r="U126" s="46">
        <f t="shared" si="78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IFERROR(__xludf.DUMMYFUNCTION("IMPORTRANGE(""https://docs.google.com/spreadsheets/d/1eHaY18a8A9IcSdp1K8H6x8fbOy06t2VsZHhMHf-1x7Y/edit?usp=sharing"",""แผน!FF80"")"),10)</f>
        <v>10</v>
      </c>
      <c r="J128" s="168">
        <v>10</v>
      </c>
      <c r="K128" s="46">
        <f t="shared" ref="K128:K131" ca="1" si="85">IF(I128&gt;0,J128*100/I128,0)</f>
        <v>100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IFERROR(__xludf.DUMMYFUNCTION("IMPORTRANGE(""https://docs.google.com/spreadsheets/d/1eHaY18a8A9IcSdp1K8H6x8fbOy06t2VsZHhMHf-1x7Y/edit?usp=sharing"",""แผน!FG80"")"),0)</f>
        <v>0</v>
      </c>
      <c r="J129" s="168">
        <v>0</v>
      </c>
      <c r="K129" s="46">
        <f t="shared" ca="1" si="85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IFERROR(__xludf.DUMMYFUNCTION("IMPORTRANGE(""https://docs.google.com/spreadsheets/d/1eHaY18a8A9IcSdp1K8H6x8fbOy06t2VsZHhMHf-1x7Y/edit?usp=sharing"",""แผน!FH80"")"),10)</f>
        <v>10</v>
      </c>
      <c r="J130" s="168">
        <v>10</v>
      </c>
      <c r="K130" s="46">
        <f t="shared" ca="1" si="85"/>
        <v>100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IFERROR(__xludf.DUMMYFUNCTION("IMPORTRANGE(""https://docs.google.com/spreadsheets/d/1eHaY18a8A9IcSdp1K8H6x8fbOy06t2VsZHhMHf-1x7Y/edit?usp=sharing"",""แผน!FI80"")"),0)</f>
        <v>0</v>
      </c>
      <c r="J131" s="168">
        <v>0</v>
      </c>
      <c r="K131" s="46">
        <f t="shared" ca="1" si="85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6">I155</f>
        <v>0</v>
      </c>
      <c r="J137" s="127">
        <f t="shared" si="86"/>
        <v>0</v>
      </c>
      <c r="K137" s="34">
        <f t="shared" ref="K137:K139" ca="1" si="87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8">I153</f>
        <v>0</v>
      </c>
      <c r="J138" s="127">
        <f t="shared" si="88"/>
        <v>0</v>
      </c>
      <c r="K138" s="34">
        <f t="shared" ca="1" si="87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8"/>
        <v>0</v>
      </c>
      <c r="J139" s="127">
        <f t="shared" si="88"/>
        <v>0</v>
      </c>
      <c r="K139" s="34">
        <f t="shared" ca="1" si="87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89">L141+L142</f>
        <v>0</v>
      </c>
      <c r="M140" s="132">
        <f t="shared" ca="1" si="89"/>
        <v>0</v>
      </c>
      <c r="N140" s="132">
        <f t="shared" ca="1" si="89"/>
        <v>0</v>
      </c>
      <c r="O140" s="132">
        <f t="shared" ref="O140:O148" ca="1" si="90">IF(L140&gt;0,N140*100/L140,0)</f>
        <v>0</v>
      </c>
      <c r="P140" s="132">
        <f t="shared" ref="P140:P148" ca="1" si="91">IF(M140&gt;0,N140*100/M140,0)</f>
        <v>0</v>
      </c>
      <c r="Q140" s="132">
        <f t="shared" ref="Q140:S140" ca="1" si="92">Q141+Q142</f>
        <v>0</v>
      </c>
      <c r="R140" s="132">
        <f t="shared" ca="1" si="92"/>
        <v>0</v>
      </c>
      <c r="S140" s="132">
        <f t="shared" ca="1" si="92"/>
        <v>0</v>
      </c>
      <c r="T140" s="132">
        <f t="shared" ref="T140:T148" ca="1" si="93">IF(Q140&gt;0,S140*100/Q140,0)</f>
        <v>0</v>
      </c>
      <c r="U140" s="132">
        <f t="shared" ref="U140:U148" ca="1" si="94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5">L144+L147</f>
        <v>0</v>
      </c>
      <c r="M141" s="48">
        <f t="shared" si="95"/>
        <v>0</v>
      </c>
      <c r="N141" s="48">
        <f t="shared" si="95"/>
        <v>0</v>
      </c>
      <c r="O141" s="48">
        <f t="shared" si="90"/>
        <v>0</v>
      </c>
      <c r="P141" s="48">
        <f t="shared" si="91"/>
        <v>0</v>
      </c>
      <c r="Q141" s="48">
        <f t="shared" ref="Q141:S142" si="96">Q144+Q147</f>
        <v>0</v>
      </c>
      <c r="R141" s="48">
        <f t="shared" si="96"/>
        <v>0</v>
      </c>
      <c r="S141" s="48">
        <f t="shared" si="96"/>
        <v>0</v>
      </c>
      <c r="T141" s="48">
        <f t="shared" si="93"/>
        <v>0</v>
      </c>
      <c r="U141" s="48">
        <f t="shared" si="94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5"/>
        <v>0</v>
      </c>
      <c r="M142" s="46">
        <f t="shared" ca="1" si="95"/>
        <v>0</v>
      </c>
      <c r="N142" s="46">
        <f t="shared" ca="1" si="95"/>
        <v>0</v>
      </c>
      <c r="O142" s="46">
        <f t="shared" ca="1" si="90"/>
        <v>0</v>
      </c>
      <c r="P142" s="46">
        <f t="shared" ca="1" si="91"/>
        <v>0</v>
      </c>
      <c r="Q142" s="46">
        <f t="shared" ca="1" si="96"/>
        <v>0</v>
      </c>
      <c r="R142" s="46">
        <f t="shared" ca="1" si="96"/>
        <v>0</v>
      </c>
      <c r="S142" s="46">
        <f t="shared" ca="1" si="96"/>
        <v>0</v>
      </c>
      <c r="T142" s="46">
        <f t="shared" ca="1" si="93"/>
        <v>0</v>
      </c>
      <c r="U142" s="46">
        <f t="shared" ca="1" si="94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7">L144+L145</f>
        <v>0</v>
      </c>
      <c r="M143" s="46">
        <f t="shared" ca="1" si="97"/>
        <v>0</v>
      </c>
      <c r="N143" s="46">
        <f t="shared" ca="1" si="97"/>
        <v>0</v>
      </c>
      <c r="O143" s="46">
        <f t="shared" ca="1" si="90"/>
        <v>0</v>
      </c>
      <c r="P143" s="46">
        <f t="shared" ca="1" si="91"/>
        <v>0</v>
      </c>
      <c r="Q143" s="46">
        <f t="shared" ref="Q143:S143" ca="1" si="98">Q144+Q145</f>
        <v>0</v>
      </c>
      <c r="R143" s="46">
        <f t="shared" ca="1" si="98"/>
        <v>0</v>
      </c>
      <c r="S143" s="46">
        <f t="shared" ca="1" si="98"/>
        <v>0</v>
      </c>
      <c r="T143" s="46">
        <f t="shared" ca="1" si="93"/>
        <v>0</v>
      </c>
      <c r="U143" s="46">
        <f t="shared" ca="1" si="94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0"/>
        <v>0</v>
      </c>
      <c r="P144" s="48">
        <f t="shared" si="91"/>
        <v>0</v>
      </c>
      <c r="Q144" s="48">
        <v>0</v>
      </c>
      <c r="R144" s="48">
        <v>0</v>
      </c>
      <c r="S144" s="48">
        <v>0</v>
      </c>
      <c r="T144" s="48">
        <f t="shared" si="93"/>
        <v>0</v>
      </c>
      <c r="U144" s="48">
        <f t="shared" si="94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IFERROR(__xludf.DUMMYFUNCTION("IMPORTRANGE(""https://docs.google.com/spreadsheets/d/1-uDff_7J0KD5mKrp0Vvzr7lt3OU09vwQwhkpOPPYv2Y/edit?usp=sharing"",""งบพรบ!BQ80"")"),0)</f>
        <v>0</v>
      </c>
      <c r="M145" s="46">
        <f ca="1">IFERROR(__xludf.DUMMYFUNCTION("IMPORTRANGE(""https://docs.google.com/spreadsheets/d/1-uDff_7J0KD5mKrp0Vvzr7lt3OU09vwQwhkpOPPYv2Y/edit?usp=sharing"",""งบพรบ!BV80"")"),0)</f>
        <v>0</v>
      </c>
      <c r="N145" s="46">
        <f ca="1">IFERROR(__xludf.DUMMYFUNCTION("IMPORTRANGE(""https://docs.google.com/spreadsheets/d/1-uDff_7J0KD5mKrp0Vvzr7lt3OU09vwQwhkpOPPYv2Y/edit?usp=sharing"",""งบพรบ!BX80"")"),0)</f>
        <v>0</v>
      </c>
      <c r="O145" s="46">
        <f t="shared" ca="1" si="90"/>
        <v>0</v>
      </c>
      <c r="P145" s="46">
        <f t="shared" ca="1" si="91"/>
        <v>0</v>
      </c>
      <c r="Q145" s="46">
        <f ca="1">IFERROR(__xludf.DUMMYFUNCTION("IMPORTRANGE(""https://docs.google.com/spreadsheets/d/1ItG2mGa2ceCfYo0BwxsXqNm01IGEUdYcSSLTEv9YCik/edit?usp=sharing"",""เบิกจ่ายกองทุน!BB80"")"),0)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IFERROR(__xludf.DUMMYFUNCTION("IMPORTRANGE(""https://docs.google.com/spreadsheets/d/1ItG2mGa2ceCfYo0BwxsXqNm01IGEUdYcSSLTEv9YCik/edit?usp=sharing"",""เบิกจ่ายกองทุน!BC80"")"),0)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IFERROR(__xludf.DUMMYFUNCTION("IMPORTRANGE(""https://docs.google.com/spreadsheets/d/1ItG2mGa2ceCfYo0BwxsXqNm01IGEUdYcSSLTEv9YCik/edit?usp=sharing"",""เบิกจ่ายกองทุน!BD80"")"),0)</f>
        <v>0</v>
      </c>
      <c r="T145" s="46">
        <f t="shared" ca="1" si="93"/>
        <v>0</v>
      </c>
      <c r="U145" s="46">
        <f t="shared" ca="1" si="94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99">L147+L148</f>
        <v>0</v>
      </c>
      <c r="M146" s="46">
        <f t="shared" ca="1" si="99"/>
        <v>0</v>
      </c>
      <c r="N146" s="46">
        <f t="shared" ca="1" si="99"/>
        <v>0</v>
      </c>
      <c r="O146" s="46">
        <f t="shared" ca="1" si="90"/>
        <v>0</v>
      </c>
      <c r="P146" s="46">
        <f t="shared" ca="1" si="91"/>
        <v>0</v>
      </c>
      <c r="Q146" s="46">
        <f t="shared" ref="Q146:S146" si="100">Q147+Q148</f>
        <v>0</v>
      </c>
      <c r="R146" s="46">
        <f t="shared" si="100"/>
        <v>0</v>
      </c>
      <c r="S146" s="46">
        <f t="shared" si="100"/>
        <v>0</v>
      </c>
      <c r="T146" s="46">
        <f t="shared" si="93"/>
        <v>0</v>
      </c>
      <c r="U146" s="46">
        <f t="shared" si="94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0"/>
        <v>0</v>
      </c>
      <c r="P147" s="48">
        <f t="shared" si="91"/>
        <v>0</v>
      </c>
      <c r="Q147" s="48">
        <v>0</v>
      </c>
      <c r="R147" s="48">
        <v>0</v>
      </c>
      <c r="S147" s="48">
        <v>0</v>
      </c>
      <c r="T147" s="48">
        <f t="shared" si="93"/>
        <v>0</v>
      </c>
      <c r="U147" s="48">
        <f t="shared" si="94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IFERROR(__xludf.DUMMYFUNCTION("IMPORTRANGE(""https://docs.google.com/spreadsheets/d/1-uDff_7J0KD5mKrp0Vvzr7lt3OU09vwQwhkpOPPYv2Y/edit?usp=sharing"",""งบพรบ!BT80"")"),0)</f>
        <v>0</v>
      </c>
      <c r="M148" s="46">
        <f ca="1">IFERROR(__xludf.DUMMYFUNCTION("IMPORTRANGE(""https://docs.google.com/spreadsheets/d/1-uDff_7J0KD5mKrp0Vvzr7lt3OU09vwQwhkpOPPYv2Y/edit?usp=sharing"",""งบพรบ!BW80"")"),0)</f>
        <v>0</v>
      </c>
      <c r="N148" s="46">
        <f ca="1">IFERROR(__xludf.DUMMYFUNCTION("IMPORTRANGE(""https://docs.google.com/spreadsheets/d/1-uDff_7J0KD5mKrp0Vvzr7lt3OU09vwQwhkpOPPYv2Y/edit?usp=sharing"",""งบพรบ!BY80"")"),0)</f>
        <v>0</v>
      </c>
      <c r="O148" s="46">
        <f t="shared" ca="1" si="90"/>
        <v>0</v>
      </c>
      <c r="P148" s="46">
        <f t="shared" ca="1" si="91"/>
        <v>0</v>
      </c>
      <c r="Q148" s="46">
        <v>0</v>
      </c>
      <c r="R148" s="46">
        <v>0</v>
      </c>
      <c r="S148" s="46">
        <v>0</v>
      </c>
      <c r="T148" s="46">
        <f t="shared" si="93"/>
        <v>0</v>
      </c>
      <c r="U148" s="46">
        <f t="shared" si="94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IFERROR(__xludf.DUMMYFUNCTION("IMPORTRANGE(""https://docs.google.com/spreadsheets/d/1eHaY18a8A9IcSdp1K8H6x8fbOy06t2VsZHhMHf-1x7Y/edit?usp=sharing"",""แผน!U80"")"),0)</f>
        <v>0</v>
      </c>
      <c r="J151" s="168">
        <v>0</v>
      </c>
      <c r="K151" s="46">
        <f t="shared" ref="K151:K155" ca="1" si="101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IFERROR(__xludf.DUMMYFUNCTION("IMPORTRANGE(""https://docs.google.com/spreadsheets/d/1eHaY18a8A9IcSdp1K8H6x8fbOy06t2VsZHhMHf-1x7Y/edit?usp=sharing"",""แผน!V80"")"),0)</f>
        <v>0</v>
      </c>
      <c r="J152" s="168">
        <v>0</v>
      </c>
      <c r="K152" s="46">
        <f t="shared" ca="1" si="101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IFERROR(__xludf.DUMMYFUNCTION("IMPORTRANGE(""https://docs.google.com/spreadsheets/d/1eHaY18a8A9IcSdp1K8H6x8fbOy06t2VsZHhMHf-1x7Y/edit?usp=sharing"",""แผน!W80"")"),0)</f>
        <v>0</v>
      </c>
      <c r="J153" s="168">
        <v>0</v>
      </c>
      <c r="K153" s="46">
        <f t="shared" ca="1" si="101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IFERROR(__xludf.DUMMYFUNCTION("IMPORTRANGE(""https://docs.google.com/spreadsheets/d/1eHaY18a8A9IcSdp1K8H6x8fbOy06t2VsZHhMHf-1x7Y/edit?usp=sharing"",""แผน!X80"")"),0)</f>
        <v>0</v>
      </c>
      <c r="J154" s="168">
        <v>0</v>
      </c>
      <c r="K154" s="46">
        <f t="shared" ca="1" si="101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IFERROR(__xludf.DUMMYFUNCTION("IMPORTRANGE(""https://docs.google.com/spreadsheets/d/1eHaY18a8A9IcSdp1K8H6x8fbOy06t2VsZHhMHf-1x7Y/edit?usp=sharing"",""แผน!Y80"")"),0)</f>
        <v>0</v>
      </c>
      <c r="J155" s="168">
        <v>0</v>
      </c>
      <c r="K155" s="46">
        <f t="shared" ca="1" si="101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2">I170</f>
        <v>0</v>
      </c>
      <c r="J157" s="127">
        <f t="shared" si="102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3">L159+L160</f>
        <v>0</v>
      </c>
      <c r="M158" s="132">
        <f t="shared" ca="1" si="103"/>
        <v>0</v>
      </c>
      <c r="N158" s="132">
        <f t="shared" ca="1" si="103"/>
        <v>0</v>
      </c>
      <c r="O158" s="132">
        <f t="shared" ref="O158:O166" ca="1" si="104">IF(L158&gt;0,N158*100/L158,0)</f>
        <v>0</v>
      </c>
      <c r="P158" s="132">
        <f t="shared" ref="P158:P166" ca="1" si="105">IF(M158&gt;0,N158*100/M158,0)</f>
        <v>0</v>
      </c>
      <c r="Q158" s="132">
        <f t="shared" ref="Q158:S158" ca="1" si="106">Q159+Q160</f>
        <v>0</v>
      </c>
      <c r="R158" s="132">
        <f t="shared" ca="1" si="106"/>
        <v>0</v>
      </c>
      <c r="S158" s="132">
        <f t="shared" ca="1" si="106"/>
        <v>0</v>
      </c>
      <c r="T158" s="132">
        <f t="shared" ref="T158:T166" ca="1" si="107">IF(Q158&gt;0,S158*100/Q158,0)</f>
        <v>0</v>
      </c>
      <c r="U158" s="132">
        <f t="shared" ref="U158:U166" ca="1" si="108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09">L162+L165</f>
        <v>0</v>
      </c>
      <c r="M159" s="48">
        <f t="shared" si="109"/>
        <v>0</v>
      </c>
      <c r="N159" s="48">
        <f t="shared" si="109"/>
        <v>0</v>
      </c>
      <c r="O159" s="48">
        <f t="shared" si="104"/>
        <v>0</v>
      </c>
      <c r="P159" s="48">
        <f t="shared" si="105"/>
        <v>0</v>
      </c>
      <c r="Q159" s="48">
        <f t="shared" ref="Q159:S160" si="110">Q162+Q165</f>
        <v>0</v>
      </c>
      <c r="R159" s="48">
        <f t="shared" si="110"/>
        <v>0</v>
      </c>
      <c r="S159" s="48">
        <f t="shared" si="110"/>
        <v>0</v>
      </c>
      <c r="T159" s="48">
        <f t="shared" si="107"/>
        <v>0</v>
      </c>
      <c r="U159" s="48">
        <f t="shared" si="108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09"/>
        <v>0</v>
      </c>
      <c r="M160" s="46">
        <f t="shared" ca="1" si="109"/>
        <v>0</v>
      </c>
      <c r="N160" s="46">
        <f t="shared" ca="1" si="109"/>
        <v>0</v>
      </c>
      <c r="O160" s="46">
        <f t="shared" ca="1" si="104"/>
        <v>0</v>
      </c>
      <c r="P160" s="46">
        <f t="shared" ca="1" si="105"/>
        <v>0</v>
      </c>
      <c r="Q160" s="46">
        <f t="shared" ca="1" si="110"/>
        <v>0</v>
      </c>
      <c r="R160" s="46">
        <f t="shared" ca="1" si="110"/>
        <v>0</v>
      </c>
      <c r="S160" s="46">
        <f t="shared" ca="1" si="110"/>
        <v>0</v>
      </c>
      <c r="T160" s="46">
        <f t="shared" ca="1" si="107"/>
        <v>0</v>
      </c>
      <c r="U160" s="46">
        <f t="shared" ca="1" si="108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1">L162+L163</f>
        <v>0</v>
      </c>
      <c r="M161" s="46">
        <f t="shared" ca="1" si="111"/>
        <v>0</v>
      </c>
      <c r="N161" s="46">
        <f t="shared" ca="1" si="111"/>
        <v>0</v>
      </c>
      <c r="O161" s="46">
        <f t="shared" ca="1" si="104"/>
        <v>0</v>
      </c>
      <c r="P161" s="46">
        <f t="shared" ca="1" si="105"/>
        <v>0</v>
      </c>
      <c r="Q161" s="46">
        <f t="shared" ref="Q161:S161" ca="1" si="112">Q162+Q163</f>
        <v>0</v>
      </c>
      <c r="R161" s="46">
        <f t="shared" ca="1" si="112"/>
        <v>0</v>
      </c>
      <c r="S161" s="46">
        <f t="shared" ca="1" si="112"/>
        <v>0</v>
      </c>
      <c r="T161" s="46">
        <f t="shared" ca="1" si="107"/>
        <v>0</v>
      </c>
      <c r="U161" s="46">
        <f t="shared" ca="1" si="108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4"/>
        <v>0</v>
      </c>
      <c r="P162" s="48">
        <f t="shared" si="105"/>
        <v>0</v>
      </c>
      <c r="Q162" s="48">
        <v>0</v>
      </c>
      <c r="R162" s="48">
        <v>0</v>
      </c>
      <c r="S162" s="48">
        <v>0</v>
      </c>
      <c r="T162" s="48">
        <f t="shared" si="107"/>
        <v>0</v>
      </c>
      <c r="U162" s="48">
        <f t="shared" si="108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IFERROR(__xludf.DUMMYFUNCTION("IMPORTRANGE(""https://docs.google.com/spreadsheets/d/1-uDff_7J0KD5mKrp0Vvzr7lt3OU09vwQwhkpOPPYv2Y/edit?usp=sharing"",""งบพรบ!CA80"")"),0)</f>
        <v>0</v>
      </c>
      <c r="M163" s="46">
        <f ca="1">IFERROR(__xludf.DUMMYFUNCTION("IMPORTRANGE(""https://docs.google.com/spreadsheets/d/1-uDff_7J0KD5mKrp0Vvzr7lt3OU09vwQwhkpOPPYv2Y/edit?usp=sharing"",""งบพรบ!CF80"")"),0)</f>
        <v>0</v>
      </c>
      <c r="N163" s="46">
        <f ca="1">IFERROR(__xludf.DUMMYFUNCTION("IMPORTRANGE(""https://docs.google.com/spreadsheets/d/1-uDff_7J0KD5mKrp0Vvzr7lt3OU09vwQwhkpOPPYv2Y/edit?usp=sharing"",""งบพรบ!CH80"")"),0)</f>
        <v>0</v>
      </c>
      <c r="O163" s="46">
        <f t="shared" ca="1" si="104"/>
        <v>0</v>
      </c>
      <c r="P163" s="46">
        <f t="shared" ca="1" si="105"/>
        <v>0</v>
      </c>
      <c r="Q163" s="46">
        <f ca="1">IFERROR(__xludf.DUMMYFUNCTION("IMPORTRANGE(""https://docs.google.com/spreadsheets/d/1ItG2mGa2ceCfYo0BwxsXqNm01IGEUdYcSSLTEv9YCik/edit?usp=sharing"",""เบิกจ่ายกองทุน!AG80"")"),0)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IFERROR(__xludf.DUMMYFUNCTION("IMPORTRANGE(""https://docs.google.com/spreadsheets/d/1ItG2mGa2ceCfYo0BwxsXqNm01IGEUdYcSSLTEv9YCik/edit?usp=sharing"",""เบิกจ่ายกองทุน!AH80"")"),0)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IFERROR(__xludf.DUMMYFUNCTION("IMPORTRANGE(""https://docs.google.com/spreadsheets/d/1ItG2mGa2ceCfYo0BwxsXqNm01IGEUdYcSSLTEv9YCik/edit?usp=sharing"",""เบิกจ่ายกองทุน!AI80"")"),0)</f>
        <v>0</v>
      </c>
      <c r="T163" s="46">
        <f t="shared" ca="1" si="107"/>
        <v>0</v>
      </c>
      <c r="U163" s="46">
        <f t="shared" ca="1" si="108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3">L165+L166</f>
        <v>0</v>
      </c>
      <c r="M164" s="46">
        <f t="shared" ca="1" si="113"/>
        <v>0</v>
      </c>
      <c r="N164" s="46">
        <f t="shared" ca="1" si="113"/>
        <v>0</v>
      </c>
      <c r="O164" s="46">
        <f t="shared" ca="1" si="104"/>
        <v>0</v>
      </c>
      <c r="P164" s="46">
        <f t="shared" ca="1" si="105"/>
        <v>0</v>
      </c>
      <c r="Q164" s="46">
        <f t="shared" ref="Q164:S164" si="114">Q165+Q166</f>
        <v>0</v>
      </c>
      <c r="R164" s="46">
        <f t="shared" si="114"/>
        <v>0</v>
      </c>
      <c r="S164" s="46">
        <f t="shared" si="114"/>
        <v>0</v>
      </c>
      <c r="T164" s="46">
        <f t="shared" si="107"/>
        <v>0</v>
      </c>
      <c r="U164" s="46">
        <f t="shared" si="108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4"/>
        <v>0</v>
      </c>
      <c r="P165" s="48">
        <f t="shared" si="105"/>
        <v>0</v>
      </c>
      <c r="Q165" s="48">
        <v>0</v>
      </c>
      <c r="R165" s="48">
        <v>0</v>
      </c>
      <c r="S165" s="48">
        <v>0</v>
      </c>
      <c r="T165" s="48">
        <f t="shared" si="107"/>
        <v>0</v>
      </c>
      <c r="U165" s="48">
        <f t="shared" si="108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IFERROR(__xludf.DUMMYFUNCTION("IMPORTRANGE(""https://docs.google.com/spreadsheets/d/1-uDff_7J0KD5mKrp0Vvzr7lt3OU09vwQwhkpOPPYv2Y/edit?usp=sharing"",""งบพรบ!CD80"")"),0)</f>
        <v>0</v>
      </c>
      <c r="M166" s="46">
        <f ca="1">IFERROR(__xludf.DUMMYFUNCTION("IMPORTRANGE(""https://docs.google.com/spreadsheets/d/1-uDff_7J0KD5mKrp0Vvzr7lt3OU09vwQwhkpOPPYv2Y/edit?usp=sharing"",""งบพรบ!CG80"")"),0)</f>
        <v>0</v>
      </c>
      <c r="N166" s="46">
        <f ca="1">IFERROR(__xludf.DUMMYFUNCTION("IMPORTRANGE(""https://docs.google.com/spreadsheets/d/1-uDff_7J0KD5mKrp0Vvzr7lt3OU09vwQwhkpOPPYv2Y/edit?usp=sharing"",""งบพรบ!CI80"")"),0)</f>
        <v>0</v>
      </c>
      <c r="O166" s="46">
        <f t="shared" ca="1" si="104"/>
        <v>0</v>
      </c>
      <c r="P166" s="46">
        <f t="shared" ca="1" si="105"/>
        <v>0</v>
      </c>
      <c r="Q166" s="46">
        <v>0</v>
      </c>
      <c r="R166" s="46">
        <v>0</v>
      </c>
      <c r="S166" s="46">
        <v>0</v>
      </c>
      <c r="T166" s="46">
        <f t="shared" si="107"/>
        <v>0</v>
      </c>
      <c r="U166" s="46">
        <f t="shared" si="108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IFERROR(__xludf.DUMMYFUNCTION("IMPORTRANGE(""https://docs.google.com/spreadsheets/d/1eHaY18a8A9IcSdp1K8H6x8fbOy06t2VsZHhMHf-1x7Y/edit?usp=sharing"",""แผน!Z80"")"),0)</f>
        <v>0</v>
      </c>
      <c r="J168" s="168">
        <v>0</v>
      </c>
      <c r="K168" s="46">
        <f t="shared" ref="K168:K170" ca="1" si="115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IFERROR(__xludf.DUMMYFUNCTION("IMPORTRANGE(""https://docs.google.com/spreadsheets/d/1eHaY18a8A9IcSdp1K8H6x8fbOy06t2VsZHhMHf-1x7Y/edit?usp=sharing"",""แผน!Z80"")"),0)</f>
        <v>0</v>
      </c>
      <c r="J169" s="555">
        <v>0</v>
      </c>
      <c r="K169" s="48">
        <f t="shared" ca="1" si="115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IFERROR(__xludf.DUMMYFUNCTION("IMPORTRANGE(""https://docs.google.com/spreadsheets/d/1eHaY18a8A9IcSdp1K8H6x8fbOy06t2VsZHhMHf-1x7Y/edit?usp=sharing"",""แผน!Z80"")"),0)</f>
        <v>0</v>
      </c>
      <c r="J170" s="557">
        <v>0</v>
      </c>
      <c r="K170" s="558">
        <f t="shared" ca="1" si="115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6">I184+I185</f>
        <v>7</v>
      </c>
      <c r="J173" s="221">
        <f t="shared" si="116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7">L175+L176</f>
        <v>19590</v>
      </c>
      <c r="M174" s="132">
        <f t="shared" ca="1" si="117"/>
        <v>40830</v>
      </c>
      <c r="N174" s="132">
        <f t="shared" ca="1" si="117"/>
        <v>36650</v>
      </c>
      <c r="O174" s="132">
        <f t="shared" ref="O174:O182" ca="1" si="118">IF(L174&gt;0,N174*100/L174,0)</f>
        <v>187.08524757529352</v>
      </c>
      <c r="P174" s="132">
        <f t="shared" ref="P174:P182" ca="1" si="119">IF(M174&gt;0,N174*100/M174,0)</f>
        <v>89.762429586088658</v>
      </c>
      <c r="Q174" s="132">
        <f t="shared" ref="Q174:S174" ca="1" si="120">Q175+Q176</f>
        <v>0</v>
      </c>
      <c r="R174" s="132">
        <f t="shared" ca="1" si="120"/>
        <v>0</v>
      </c>
      <c r="S174" s="132">
        <f t="shared" ca="1" si="120"/>
        <v>0</v>
      </c>
      <c r="T174" s="132">
        <f t="shared" ref="T174:T182" ca="1" si="121">IF(Q174&gt;0,S174*100/Q174,0)</f>
        <v>0</v>
      </c>
      <c r="U174" s="132">
        <f t="shared" ref="U174:U182" ca="1" si="122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3">L178+L181</f>
        <v>0</v>
      </c>
      <c r="M175" s="48">
        <f t="shared" si="123"/>
        <v>0</v>
      </c>
      <c r="N175" s="48">
        <f t="shared" si="123"/>
        <v>0</v>
      </c>
      <c r="O175" s="48">
        <f t="shared" si="118"/>
        <v>0</v>
      </c>
      <c r="P175" s="48">
        <f t="shared" si="119"/>
        <v>0</v>
      </c>
      <c r="Q175" s="48">
        <f t="shared" ref="Q175:S176" si="124">Q178+Q181</f>
        <v>0</v>
      </c>
      <c r="R175" s="48">
        <f t="shared" si="124"/>
        <v>0</v>
      </c>
      <c r="S175" s="48">
        <f t="shared" si="124"/>
        <v>0</v>
      </c>
      <c r="T175" s="48">
        <f t="shared" si="121"/>
        <v>0</v>
      </c>
      <c r="U175" s="48">
        <f t="shared" si="122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3"/>
        <v>19590</v>
      </c>
      <c r="M176" s="46">
        <f t="shared" ca="1" si="123"/>
        <v>40830</v>
      </c>
      <c r="N176" s="46">
        <f t="shared" ca="1" si="123"/>
        <v>36650</v>
      </c>
      <c r="O176" s="46">
        <f t="shared" ca="1" si="118"/>
        <v>187.08524757529352</v>
      </c>
      <c r="P176" s="46">
        <f t="shared" ca="1" si="119"/>
        <v>89.762429586088658</v>
      </c>
      <c r="Q176" s="46">
        <f t="shared" ca="1" si="124"/>
        <v>0</v>
      </c>
      <c r="R176" s="46">
        <f t="shared" ca="1" si="124"/>
        <v>0</v>
      </c>
      <c r="S176" s="46">
        <f t="shared" ca="1" si="124"/>
        <v>0</v>
      </c>
      <c r="T176" s="46">
        <f t="shared" ca="1" si="121"/>
        <v>0</v>
      </c>
      <c r="U176" s="46">
        <f t="shared" ca="1" si="122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5">L178+L179</f>
        <v>19590</v>
      </c>
      <c r="M177" s="46">
        <f t="shared" ca="1" si="125"/>
        <v>40830</v>
      </c>
      <c r="N177" s="46">
        <f t="shared" ca="1" si="125"/>
        <v>36650</v>
      </c>
      <c r="O177" s="46">
        <f t="shared" ca="1" si="118"/>
        <v>187.08524757529352</v>
      </c>
      <c r="P177" s="46">
        <f t="shared" ca="1" si="119"/>
        <v>89.762429586088658</v>
      </c>
      <c r="Q177" s="46">
        <f t="shared" ref="Q177:S177" ca="1" si="126">Q178+Q179</f>
        <v>0</v>
      </c>
      <c r="R177" s="46">
        <f t="shared" ca="1" si="126"/>
        <v>0</v>
      </c>
      <c r="S177" s="46">
        <f t="shared" ca="1" si="126"/>
        <v>0</v>
      </c>
      <c r="T177" s="46">
        <f t="shared" ca="1" si="121"/>
        <v>0</v>
      </c>
      <c r="U177" s="46">
        <f t="shared" ca="1" si="122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8"/>
        <v>0</v>
      </c>
      <c r="P178" s="48">
        <f t="shared" si="119"/>
        <v>0</v>
      </c>
      <c r="Q178" s="48">
        <v>0</v>
      </c>
      <c r="R178" s="48">
        <v>0</v>
      </c>
      <c r="S178" s="48">
        <v>0</v>
      </c>
      <c r="T178" s="48">
        <f t="shared" si="121"/>
        <v>0</v>
      </c>
      <c r="U178" s="48">
        <f t="shared" si="122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IFERROR(__xludf.DUMMYFUNCTION("IMPORTRANGE(""https://docs.google.com/spreadsheets/d/1-uDff_7J0KD5mKrp0Vvzr7lt3OU09vwQwhkpOPPYv2Y/edit?usp=sharing"",""งบพรบ!CK80"")"),19590)</f>
        <v>19590</v>
      </c>
      <c r="M179" s="46">
        <f ca="1">IFERROR(__xludf.DUMMYFUNCTION("IMPORTRANGE(""https://docs.google.com/spreadsheets/d/1-uDff_7J0KD5mKrp0Vvzr7lt3OU09vwQwhkpOPPYv2Y/edit?usp=sharing"",""งบพรบ!CP80"")"),40830)</f>
        <v>40830</v>
      </c>
      <c r="N179" s="46">
        <f ca="1">IFERROR(__xludf.DUMMYFUNCTION("IMPORTRANGE(""https://docs.google.com/spreadsheets/d/1-uDff_7J0KD5mKrp0Vvzr7lt3OU09vwQwhkpOPPYv2Y/edit?usp=sharing"",""งบพรบ!CR80"")"),36650)</f>
        <v>36650</v>
      </c>
      <c r="O179" s="46">
        <f t="shared" ca="1" si="118"/>
        <v>187.08524757529352</v>
      </c>
      <c r="P179" s="46">
        <f t="shared" ca="1" si="119"/>
        <v>89.762429586088658</v>
      </c>
      <c r="Q179" s="46">
        <f ca="1">IFERROR(__xludf.DUMMYFUNCTION("IMPORTRANGE(""https://docs.google.com/spreadsheets/d/1ItG2mGa2ceCfYo0BwxsXqNm01IGEUdYcSSLTEv9YCik/edit?usp=sharing"",""เบิกจ่ายกองทุน!BE80"")"),0)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IFERROR(__xludf.DUMMYFUNCTION("IMPORTRANGE(""https://docs.google.com/spreadsheets/d/1ItG2mGa2ceCfYo0BwxsXqNm01IGEUdYcSSLTEv9YCik/edit?usp=sharing"",""เบิกจ่ายกองทุน!BF80"")"),0)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IFERROR(__xludf.DUMMYFUNCTION("IMPORTRANGE(""https://docs.google.com/spreadsheets/d/1ItG2mGa2ceCfYo0BwxsXqNm01IGEUdYcSSLTEv9YCik/edit?usp=sharing"",""เบิกจ่ายกองทุน!BG80"")"),0)</f>
        <v>0</v>
      </c>
      <c r="T179" s="46">
        <f t="shared" ca="1" si="121"/>
        <v>0</v>
      </c>
      <c r="U179" s="46">
        <f t="shared" ca="1" si="122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7">L181+L182</f>
        <v>0</v>
      </c>
      <c r="M180" s="46">
        <f t="shared" ca="1" si="127"/>
        <v>0</v>
      </c>
      <c r="N180" s="46">
        <f t="shared" ca="1" si="127"/>
        <v>0</v>
      </c>
      <c r="O180" s="46">
        <f t="shared" ca="1" si="118"/>
        <v>0</v>
      </c>
      <c r="P180" s="46">
        <f t="shared" ca="1" si="119"/>
        <v>0</v>
      </c>
      <c r="Q180" s="46">
        <f t="shared" ref="Q180:S180" si="128">Q181+Q182</f>
        <v>0</v>
      </c>
      <c r="R180" s="46">
        <f t="shared" si="128"/>
        <v>0</v>
      </c>
      <c r="S180" s="46">
        <f t="shared" si="128"/>
        <v>0</v>
      </c>
      <c r="T180" s="46">
        <f t="shared" si="121"/>
        <v>0</v>
      </c>
      <c r="U180" s="46">
        <f t="shared" si="122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8"/>
        <v>0</v>
      </c>
      <c r="P181" s="48">
        <f t="shared" si="119"/>
        <v>0</v>
      </c>
      <c r="Q181" s="48">
        <v>0</v>
      </c>
      <c r="R181" s="48">
        <v>0</v>
      </c>
      <c r="S181" s="48">
        <v>0</v>
      </c>
      <c r="T181" s="48">
        <f t="shared" si="121"/>
        <v>0</v>
      </c>
      <c r="U181" s="48">
        <f t="shared" si="122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IFERROR(__xludf.DUMMYFUNCTION("IMPORTRANGE(""https://docs.google.com/spreadsheets/d/1-uDff_7J0KD5mKrp0Vvzr7lt3OU09vwQwhkpOPPYv2Y/edit?usp=sharing"",""งบพรบ!CN80"")"),0)</f>
        <v>0</v>
      </c>
      <c r="M182" s="46">
        <f ca="1">IFERROR(__xludf.DUMMYFUNCTION("IMPORTRANGE(""https://docs.google.com/spreadsheets/d/1-uDff_7J0KD5mKrp0Vvzr7lt3OU09vwQwhkpOPPYv2Y/edit?usp=sharing"",""งบพรบ!CQ80"")"),0)</f>
        <v>0</v>
      </c>
      <c r="N182" s="46">
        <f ca="1">IFERROR(__xludf.DUMMYFUNCTION("IMPORTRANGE(""https://docs.google.com/spreadsheets/d/1-uDff_7J0KD5mKrp0Vvzr7lt3OU09vwQwhkpOPPYv2Y/edit?usp=sharing"",""งบพรบ!CS80"")"),0)</f>
        <v>0</v>
      </c>
      <c r="O182" s="46">
        <f t="shared" ca="1" si="118"/>
        <v>0</v>
      </c>
      <c r="P182" s="46">
        <f t="shared" ca="1" si="119"/>
        <v>0</v>
      </c>
      <c r="Q182" s="46">
        <v>0</v>
      </c>
      <c r="R182" s="46">
        <v>0</v>
      </c>
      <c r="S182" s="46">
        <v>0</v>
      </c>
      <c r="T182" s="46">
        <f t="shared" si="121"/>
        <v>0</v>
      </c>
      <c r="U182" s="46">
        <f t="shared" si="122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IFERROR(__xludf.DUMMYFUNCTION("IMPORTRANGE(""https://docs.google.com/spreadsheets/d/1eHaY18a8A9IcSdp1K8H6x8fbOy06t2VsZHhMHf-1x7Y/edit?usp=sharing"",""แผน!AA80"")"),7)</f>
        <v>7</v>
      </c>
      <c r="J184" s="168">
        <v>7</v>
      </c>
      <c r="K184" s="46">
        <f t="shared" ref="K184:K186" ca="1" si="129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29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0">I231+I232</f>
        <v>0</v>
      </c>
      <c r="J186" s="221">
        <f t="shared" si="130"/>
        <v>0</v>
      </c>
      <c r="K186" s="222">
        <f t="shared" ca="1" si="129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1">L188+L189</f>
        <v>105500</v>
      </c>
      <c r="M187" s="132">
        <f t="shared" ca="1" si="131"/>
        <v>105500</v>
      </c>
      <c r="N187" s="132">
        <f t="shared" ca="1" si="131"/>
        <v>80214</v>
      </c>
      <c r="O187" s="132">
        <f t="shared" ref="O187:O195" ca="1" si="132">IF(L187&gt;0,N187*100/L187,0)</f>
        <v>76.032227488151662</v>
      </c>
      <c r="P187" s="132">
        <f t="shared" ref="P187:P195" ca="1" si="133">IF(M187&gt;0,N187*100/M187,0)</f>
        <v>76.032227488151662</v>
      </c>
      <c r="Q187" s="132">
        <f t="shared" ref="Q187:S187" ca="1" si="134">Q188+Q189</f>
        <v>0</v>
      </c>
      <c r="R187" s="132">
        <f t="shared" ca="1" si="134"/>
        <v>20000</v>
      </c>
      <c r="S187" s="132">
        <f t="shared" ca="1" si="134"/>
        <v>0</v>
      </c>
      <c r="T187" s="132">
        <f t="shared" ref="T187:T195" ca="1" si="135">IF(Q187&gt;0,S187*100/Q187,0)</f>
        <v>0</v>
      </c>
      <c r="U187" s="132">
        <f t="shared" ref="U187:U195" ca="1" si="136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7">L191+L194</f>
        <v>0</v>
      </c>
      <c r="M188" s="48">
        <f t="shared" si="137"/>
        <v>0</v>
      </c>
      <c r="N188" s="48">
        <f t="shared" si="137"/>
        <v>0</v>
      </c>
      <c r="O188" s="48">
        <f t="shared" si="132"/>
        <v>0</v>
      </c>
      <c r="P188" s="48">
        <f t="shared" si="133"/>
        <v>0</v>
      </c>
      <c r="Q188" s="48">
        <f t="shared" ref="Q188:S189" si="138">Q191+Q194</f>
        <v>0</v>
      </c>
      <c r="R188" s="48">
        <f t="shared" si="138"/>
        <v>0</v>
      </c>
      <c r="S188" s="48">
        <f t="shared" si="138"/>
        <v>0</v>
      </c>
      <c r="T188" s="48">
        <f t="shared" si="135"/>
        <v>0</v>
      </c>
      <c r="U188" s="48">
        <f t="shared" si="136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7"/>
        <v>105500</v>
      </c>
      <c r="M189" s="46">
        <f t="shared" ca="1" si="137"/>
        <v>105500</v>
      </c>
      <c r="N189" s="46">
        <f t="shared" ca="1" si="137"/>
        <v>80214</v>
      </c>
      <c r="O189" s="46">
        <f t="shared" ca="1" si="132"/>
        <v>76.032227488151662</v>
      </c>
      <c r="P189" s="46">
        <f t="shared" ca="1" si="133"/>
        <v>76.032227488151662</v>
      </c>
      <c r="Q189" s="46">
        <f t="shared" ca="1" si="138"/>
        <v>0</v>
      </c>
      <c r="R189" s="46">
        <f t="shared" ca="1" si="138"/>
        <v>20000</v>
      </c>
      <c r="S189" s="46">
        <f t="shared" ca="1" si="138"/>
        <v>0</v>
      </c>
      <c r="T189" s="46">
        <f t="shared" ca="1" si="135"/>
        <v>0</v>
      </c>
      <c r="U189" s="46">
        <f t="shared" ca="1" si="136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39">L191+L192</f>
        <v>105500</v>
      </c>
      <c r="M190" s="46">
        <f t="shared" ca="1" si="139"/>
        <v>105500</v>
      </c>
      <c r="N190" s="46">
        <f t="shared" ca="1" si="139"/>
        <v>80214</v>
      </c>
      <c r="O190" s="46">
        <f t="shared" ca="1" si="132"/>
        <v>76.032227488151662</v>
      </c>
      <c r="P190" s="46">
        <f t="shared" ca="1" si="133"/>
        <v>76.032227488151662</v>
      </c>
      <c r="Q190" s="46">
        <f t="shared" ref="Q190:S190" ca="1" si="140">Q191+Q192</f>
        <v>0</v>
      </c>
      <c r="R190" s="46">
        <f t="shared" ca="1" si="140"/>
        <v>20000</v>
      </c>
      <c r="S190" s="46">
        <f t="shared" ca="1" si="140"/>
        <v>0</v>
      </c>
      <c r="T190" s="46">
        <f t="shared" ca="1" si="135"/>
        <v>0</v>
      </c>
      <c r="U190" s="46">
        <f t="shared" ca="1" si="136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2"/>
        <v>0</v>
      </c>
      <c r="P191" s="48">
        <f t="shared" si="133"/>
        <v>0</v>
      </c>
      <c r="Q191" s="48">
        <v>0</v>
      </c>
      <c r="R191" s="48">
        <v>0</v>
      </c>
      <c r="S191" s="48">
        <v>0</v>
      </c>
      <c r="T191" s="48">
        <f t="shared" si="135"/>
        <v>0</v>
      </c>
      <c r="U191" s="48">
        <f t="shared" si="136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IFERROR(__xludf.DUMMYFUNCTION("IMPORTRANGE(""https://docs.google.com/spreadsheets/d/1-uDff_7J0KD5mKrp0Vvzr7lt3OU09vwQwhkpOPPYv2Y/edit?usp=sharing"",""งบพรบ!CU80"")"),105500)</f>
        <v>105500</v>
      </c>
      <c r="M192" s="46">
        <f ca="1">IFERROR(__xludf.DUMMYFUNCTION("IMPORTRANGE(""https://docs.google.com/spreadsheets/d/1-uDff_7J0KD5mKrp0Vvzr7lt3OU09vwQwhkpOPPYv2Y/edit?usp=sharing"",""งบพรบ!CZ80"")"),105500)</f>
        <v>105500</v>
      </c>
      <c r="N192" s="46">
        <f ca="1">IFERROR(__xludf.DUMMYFUNCTION("IMPORTRANGE(""https://docs.google.com/spreadsheets/d/1-uDff_7J0KD5mKrp0Vvzr7lt3OU09vwQwhkpOPPYv2Y/edit?usp=sharing"",""งบพรบ!DB80"")"),80214)</f>
        <v>80214</v>
      </c>
      <c r="O192" s="46">
        <f t="shared" ca="1" si="132"/>
        <v>76.032227488151662</v>
      </c>
      <c r="P192" s="46">
        <f t="shared" ca="1" si="133"/>
        <v>76.032227488151662</v>
      </c>
      <c r="Q192" s="46">
        <f ca="1">IFERROR(__xludf.DUMMYFUNCTION("IMPORTRANGE(""https://docs.google.com/spreadsheets/d/1ItG2mGa2ceCfYo0BwxsXqNm01IGEUdYcSSLTEv9YCik/edit?usp=sharing"",""เบิกจ่ายกองทุน!AV80"")"),0)</f>
        <v>0</v>
      </c>
      <c r="R192" s="46">
        <f ca="1">IFERROR(__xludf.DUMMYFUNCTION("IMPORTRANGE(""https://docs.google.com/spreadsheets/d/1ItG2mGa2ceCfYo0BwxsXqNm01IGEUdYcSSLTEv9YCik/edit?usp=sharing"",""เบิกจ่ายกองทุน!AW80"")"),20000)</f>
        <v>20000</v>
      </c>
      <c r="S192" s="46">
        <f ca="1">IFERROR(__xludf.DUMMYFUNCTION("IMPORTRANGE(""https://docs.google.com/spreadsheets/d/1ItG2mGa2ceCfYo0BwxsXqNm01IGEUdYcSSLTEv9YCik/edit?usp=sharing"",""เบิกจ่ายกองทุน!AX80"")"),0)</f>
        <v>0</v>
      </c>
      <c r="T192" s="46">
        <f t="shared" ca="1" si="135"/>
        <v>0</v>
      </c>
      <c r="U192" s="46">
        <f t="shared" ca="1" si="136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1">L194+L195</f>
        <v>0</v>
      </c>
      <c r="M193" s="46">
        <f t="shared" ca="1" si="141"/>
        <v>0</v>
      </c>
      <c r="N193" s="46">
        <f t="shared" ca="1" si="141"/>
        <v>0</v>
      </c>
      <c r="O193" s="46">
        <f t="shared" ca="1" si="132"/>
        <v>0</v>
      </c>
      <c r="P193" s="46">
        <f t="shared" ca="1" si="133"/>
        <v>0</v>
      </c>
      <c r="Q193" s="46">
        <f t="shared" ref="Q193:S193" si="142">Q194+Q195</f>
        <v>0</v>
      </c>
      <c r="R193" s="46">
        <f t="shared" si="142"/>
        <v>0</v>
      </c>
      <c r="S193" s="46">
        <f t="shared" si="142"/>
        <v>0</v>
      </c>
      <c r="T193" s="46">
        <f t="shared" si="135"/>
        <v>0</v>
      </c>
      <c r="U193" s="46">
        <f t="shared" si="136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2"/>
        <v>0</v>
      </c>
      <c r="P194" s="48">
        <f t="shared" si="133"/>
        <v>0</v>
      </c>
      <c r="Q194" s="48">
        <v>0</v>
      </c>
      <c r="R194" s="48">
        <v>0</v>
      </c>
      <c r="S194" s="48">
        <v>0</v>
      </c>
      <c r="T194" s="48">
        <f t="shared" si="135"/>
        <v>0</v>
      </c>
      <c r="U194" s="48">
        <f t="shared" si="136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IFERROR(__xludf.DUMMYFUNCTION("IMPORTRANGE(""https://docs.google.com/spreadsheets/d/1-uDff_7J0KD5mKrp0Vvzr7lt3OU09vwQwhkpOPPYv2Y/edit?usp=sharing"",""งบพรบ!CX80"")"),0)</f>
        <v>0</v>
      </c>
      <c r="M195" s="46">
        <f ca="1">IFERROR(__xludf.DUMMYFUNCTION("IMPORTRANGE(""https://docs.google.com/spreadsheets/d/1-uDff_7J0KD5mKrp0Vvzr7lt3OU09vwQwhkpOPPYv2Y/edit?usp=sharing"",""งบพรบ!DA80"")"),0)</f>
        <v>0</v>
      </c>
      <c r="N195" s="46">
        <f ca="1">IFERROR(__xludf.DUMMYFUNCTION("IMPORTRANGE(""https://docs.google.com/spreadsheets/d/1-uDff_7J0KD5mKrp0Vvzr7lt3OU09vwQwhkpOPPYv2Y/edit?usp=sharing"",""งบพรบ!DC80"")"),0)</f>
        <v>0</v>
      </c>
      <c r="O195" s="46">
        <f t="shared" ca="1" si="132"/>
        <v>0</v>
      </c>
      <c r="P195" s="46">
        <f t="shared" ca="1" si="133"/>
        <v>0</v>
      </c>
      <c r="Q195" s="46">
        <v>0</v>
      </c>
      <c r="R195" s="46">
        <v>0</v>
      </c>
      <c r="S195" s="46">
        <v>0</v>
      </c>
      <c r="T195" s="46">
        <f t="shared" si="135"/>
        <v>0</v>
      </c>
      <c r="U195" s="46">
        <f t="shared" si="136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3">I199</f>
        <v>4</v>
      </c>
      <c r="J196" s="235">
        <f t="shared" si="143"/>
        <v>2</v>
      </c>
      <c r="K196" s="236">
        <f ca="1">IF(I196&gt;0,J196*100/I196,0)</f>
        <v>50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IFERROR(__xludf.DUMMYFUNCTION("IMPORTRANGE(""https://docs.google.com/spreadsheets/d/1eHaY18a8A9IcSdp1K8H6x8fbOy06t2VsZHhMHf-1x7Y/edit?usp=sharing"",""แผน!AB80"")"),6000)</f>
        <v>6000</v>
      </c>
      <c r="M197" s="45"/>
      <c r="N197" s="564">
        <v>1000</v>
      </c>
      <c r="O197" s="132">
        <f ca="1">IF(L197&gt;0,N197*100/L197,0)</f>
        <v>16.666666666666668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IFERROR(__xludf.DUMMYFUNCTION("IMPORTRANGE(""https://docs.google.com/spreadsheets/d/1eHaY18a8A9IcSdp1K8H6x8fbOy06t2VsZHhMHf-1x7Y/edit?usp=sharing"",""แผน!AE80"")"),4)</f>
        <v>4</v>
      </c>
      <c r="J199" s="168">
        <v>2</v>
      </c>
      <c r="K199" s="46">
        <f ca="1">IF(I199&gt;0,J199*100/I199,0)</f>
        <v>50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80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80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4">I210</f>
        <v>1</v>
      </c>
      <c r="J203" s="235">
        <f t="shared" si="144"/>
        <v>1</v>
      </c>
      <c r="K203" s="236">
        <f ca="1">IF(I203&gt;0,J203*100/I203,0)</f>
        <v>100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13000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IFERROR(__xludf.DUMMYFUNCTION("IMPORTRANGE(""https://docs.google.com/spreadsheets/d/1eHaY18a8A9IcSdp1K8H6x8fbOy06t2VsZHhMHf-1x7Y/edit?usp=sharing"",""แผน!AG80"")"),1000)</f>
        <v>1000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IFERROR(__xludf.DUMMYFUNCTION("IMPORTRANGE(""https://docs.google.com/spreadsheets/d/1eHaY18a8A9IcSdp1K8H6x8fbOy06t2VsZHhMHf-1x7Y/edit?usp=sharing"",""แผน!AH80"")"),0)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IFERROR(__xludf.DUMMYFUNCTION("IMPORTRANGE(""https://docs.google.com/spreadsheets/d/1eHaY18a8A9IcSdp1K8H6x8fbOy06t2VsZHhMHf-1x7Y/edit?usp=sharing"",""แผน!AI80"")"),8000)</f>
        <v>8000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IFERROR(__xludf.DUMMYFUNCTION("IMPORTRANGE(""https://docs.google.com/spreadsheets/d/1eHaY18a8A9IcSdp1K8H6x8fbOy06t2VsZHhMHf-1x7Y/edit?usp=sharing"",""แผน!AJ80"")"),4000)</f>
        <v>4000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IFERROR(__xludf.DUMMYFUNCTION("IMPORTRANGE(""https://docs.google.com/spreadsheets/d/1eHaY18a8A9IcSdp1K8H6x8fbOy06t2VsZHhMHf-1x7Y/edit?usp=sharing"",""แผน!AK80"")"),1)</f>
        <v>1</v>
      </c>
      <c r="J210" s="168">
        <v>1</v>
      </c>
      <c r="K210" s="153">
        <f ca="1">IF(I210&gt;0,J210*100/I210,0)</f>
        <v>100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IFERROR(__xludf.DUMMYFUNCTION("IMPORTRANGE(""https://docs.google.com/spreadsheets/d/1eHaY18a8A9IcSdp1K8H6x8fbOy06t2VsZHhMHf-1x7Y/edit?usp=sharing"",""แผน!JX80"")"),1)</f>
        <v>1</v>
      </c>
      <c r="J212" s="168">
        <v>0</v>
      </c>
      <c r="K212" s="153">
        <f t="shared" ref="K212:K214" ca="1" si="145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IFERROR(__xludf.DUMMYFUNCTION("IMPORTRANGE(""https://docs.google.com/spreadsheets/d/1eHaY18a8A9IcSdp1K8H6x8fbOy06t2VsZHhMHf-1x7Y/edit?usp=sharing"",""แผน!JY80"")"),0)</f>
        <v>0</v>
      </c>
      <c r="J213" s="168">
        <v>0</v>
      </c>
      <c r="K213" s="153">
        <f t="shared" ca="1" si="145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6">I221</f>
        <v>0</v>
      </c>
      <c r="J214" s="235">
        <f t="shared" si="146"/>
        <v>0</v>
      </c>
      <c r="K214" s="236">
        <f t="shared" ca="1" si="145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IFERROR(__xludf.DUMMYFUNCTION("IMPORTRANGE(""https://docs.google.com/spreadsheets/d/1eHaY18a8A9IcSdp1K8H6x8fbOy06t2VsZHhMHf-1x7Y/edit?usp=sharing"",""แผน!AM80"")"),0)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IFERROR(__xludf.DUMMYFUNCTION("IMPORTRANGE(""https://docs.google.com/spreadsheets/d/1eHaY18a8A9IcSdp1K8H6x8fbOy06t2VsZHhMHf-1x7Y/edit?usp=sharing"",""แผน!AN80"")"),0)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IFERROR(__xludf.DUMMYFUNCTION("IMPORTRANGE(""https://docs.google.com/spreadsheets/d/1eHaY18a8A9IcSdp1K8H6x8fbOy06t2VsZHhMHf-1x7Y/edit?usp=sharing"",""แผน!AO80"")"),0)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8">
        <v>0</v>
      </c>
      <c r="K220" s="46">
        <f t="shared" ref="K220:K222" ca="1" si="147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IFERROR(__xludf.DUMMYFUNCTION("IMPORTRANGE(""https://docs.google.com/spreadsheets/d/1eHaY18a8A9IcSdp1K8H6x8fbOy06t2VsZHhMHf-1x7Y/edit?usp=sharing"",""แผน!AP80"")"),0)</f>
        <v>0</v>
      </c>
      <c r="J221" s="168">
        <v>0</v>
      </c>
      <c r="K221" s="46">
        <f t="shared" ca="1" si="147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8">I230</f>
        <v>12800</v>
      </c>
      <c r="J222" s="235">
        <f t="shared" si="148"/>
        <v>0</v>
      </c>
      <c r="K222" s="236">
        <f t="shared" ca="1" si="147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IFERROR(__xludf.DUMMYFUNCTION("IMPORTRANGE(""https://docs.google.com/spreadsheets/d/1eHaY18a8A9IcSdp1K8H6x8fbOy06t2VsZHhMHf-1x7Y/edit?usp=sharing"",""แผน!AR80"")"),2500)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IFERROR(__xludf.DUMMYFUNCTION("IMPORTRANGE(""https://docs.google.com/spreadsheets/d/1eHaY18a8A9IcSdp1K8H6x8fbOy06t2VsZHhMHf-1x7Y/edit?usp=sharing"",""แผน!AS80"")"),2000)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IFERROR(__xludf.DUMMYFUNCTION("IMPORTRANGE(""https://docs.google.com/spreadsheets/d/1eHaY18a8A9IcSdp1K8H6x8fbOy06t2VsZHhMHf-1x7Y/edit?usp=sharing"",""แผน!AT80"")"),0)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8">
        <v>0</v>
      </c>
      <c r="K229" s="153">
        <f t="shared" ref="K229:K232" ca="1" si="149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IFERROR(__xludf.DUMMYFUNCTION("IMPORTRANGE(""https://docs.google.com/spreadsheets/d/1eHaY18a8A9IcSdp1K8H6x8fbOy06t2VsZHhMHf-1x7Y/edit?usp=sharing"",""แผน!AV80"")"),12800)</f>
        <v>12800</v>
      </c>
      <c r="J230" s="168">
        <v>0</v>
      </c>
      <c r="K230" s="153">
        <f t="shared" ca="1" si="149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IFERROR(__xludf.DUMMYFUNCTION("IMPORTRANGE(""https://docs.google.com/spreadsheets/d/1eHaY18a8A9IcSdp1K8H6x8fbOy06t2VsZHhMHf-1x7Y/edit?usp=sharing"",""แผน!AU80"")"),0)</f>
        <v>0</v>
      </c>
      <c r="J231" s="168">
        <v>0</v>
      </c>
      <c r="K231" s="153">
        <f t="shared" ca="1" si="149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0">I243+I254</f>
        <v>0</v>
      </c>
      <c r="J232" s="573">
        <f t="shared" si="150"/>
        <v>0</v>
      </c>
      <c r="K232" s="574">
        <f t="shared" ca="1" si="149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1">L244+L255</f>
        <v>0</v>
      </c>
      <c r="M233" s="45"/>
      <c r="N233" s="583">
        <f t="shared" ref="N233:N237" si="152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1"/>
        <v>0</v>
      </c>
      <c r="M234" s="45"/>
      <c r="N234" s="48">
        <f t="shared" si="152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1"/>
        <v>0</v>
      </c>
      <c r="M235" s="45"/>
      <c r="N235" s="48">
        <f t="shared" si="152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1"/>
        <v>0</v>
      </c>
      <c r="M236" s="45"/>
      <c r="N236" s="48">
        <f t="shared" si="152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1"/>
        <v>0</v>
      </c>
      <c r="M237" s="45"/>
      <c r="N237" s="48">
        <f t="shared" si="152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3">I250+I261</f>
        <v>0</v>
      </c>
      <c r="J239" s="340">
        <f t="shared" si="153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4">I252+I263</f>
        <v>0</v>
      </c>
      <c r="J241" s="340">
        <f t="shared" si="154"/>
        <v>0</v>
      </c>
      <c r="K241" s="48">
        <f t="shared" ref="K241:K243" si="155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4"/>
        <v>0</v>
      </c>
      <c r="J242" s="340">
        <f t="shared" si="154"/>
        <v>0</v>
      </c>
      <c r="K242" s="48">
        <f t="shared" si="155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6">I250</f>
        <v>0</v>
      </c>
      <c r="J243" s="573">
        <f t="shared" si="156"/>
        <v>0</v>
      </c>
      <c r="K243" s="574">
        <f t="shared" ca="1" si="155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IFERROR(__xludf.DUMMYFUNCTION("IMPORTRANGE(""https://docs.google.com/spreadsheets/d/1eHaY18a8A9IcSdp1K8H6x8fbOy06t2VsZHhMHf-1x7Y/edit?usp=sharing"",""แผน!AX80"")"),0)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IFERROR(__xludf.DUMMYFUNCTION("IMPORTRANGE(""https://docs.google.com/spreadsheets/d/1eHaY18a8A9IcSdp1K8H6x8fbOy06t2VsZHhMHf-1x7Y/edit?usp=sharing"",""แผน!AY80"")"),0)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IFERROR(__xludf.DUMMYFUNCTION("IMPORTRANGE(""https://docs.google.com/spreadsheets/d/1eHaY18a8A9IcSdp1K8H6x8fbOy06t2VsZHhMHf-1x7Y/edit?usp=sharing"",""แผน!AZ80"")"),0)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IFERROR(__xludf.DUMMYFUNCTION("IMPORTRANGE(""https://docs.google.com/spreadsheets/d/1eHaY18a8A9IcSdp1K8H6x8fbOy06t2VsZHhMHf-1x7Y/edit?usp=sharing"",""แผน!BA80"")"),0)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IFERROR(__xludf.DUMMYFUNCTION("IMPORTRANGE(""https://docs.google.com/spreadsheets/d/1eHaY18a8A9IcSdp1K8H6x8fbOy06t2VsZHhMHf-1x7Y/edit?usp=sharing"",""แผน!BG80"")"),0)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7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7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8">I261</f>
        <v>0</v>
      </c>
      <c r="J254" s="573">
        <f t="shared" si="158"/>
        <v>0</v>
      </c>
      <c r="K254" s="574">
        <f t="shared" ca="1" si="157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IFERROR(__xludf.DUMMYFUNCTION("IMPORTRANGE(""https://docs.google.com/spreadsheets/d/1eHaY18a8A9IcSdp1K8H6x8fbOy06t2VsZHhMHf-1x7Y/edit?usp=sharing"",""แผน!BB80"")"),0)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IFERROR(__xludf.DUMMYFUNCTION("IMPORTRANGE(""https://docs.google.com/spreadsheets/d/1eHaY18a8A9IcSdp1K8H6x8fbOy06t2VsZHhMHf-1x7Y/edit?usp=sharing"",""แผน!BC80"")"),0)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IFERROR(__xludf.DUMMYFUNCTION("IMPORTRANGE(""https://docs.google.com/spreadsheets/d/1eHaY18a8A9IcSdp1K8H6x8fbOy06t2VsZHhMHf-1x7Y/edit?usp=sharing"",""แผน!BD80"")"),0)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IFERROR(__xludf.DUMMYFUNCTION("IMPORTRANGE(""https://docs.google.com/spreadsheets/d/1eHaY18a8A9IcSdp1K8H6x8fbOy06t2VsZHhMHf-1x7Y/edit?usp=sharing"",""แผน!BE80"")"),0)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IFERROR(__xludf.DUMMYFUNCTION("IMPORTRANGE(""https://docs.google.com/spreadsheets/d/1eHaY18a8A9IcSdp1K8H6x8fbOy06t2VsZHhMHf-1x7Y/edit?usp=sharing"",""แผน!BH80"")"),0)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59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59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0">I277</f>
        <v>20</v>
      </c>
      <c r="J266" s="613">
        <f t="shared" si="160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1">L268+L269</f>
        <v>0</v>
      </c>
      <c r="M267" s="626">
        <f t="shared" ca="1" si="161"/>
        <v>5000</v>
      </c>
      <c r="N267" s="626">
        <f t="shared" ca="1" si="161"/>
        <v>0</v>
      </c>
      <c r="O267" s="626">
        <f t="shared" ref="O267:O275" ca="1" si="162">IF(L267&gt;0,N267*100/L267,0)</f>
        <v>0</v>
      </c>
      <c r="P267" s="626">
        <f t="shared" ref="P267:P275" ca="1" si="163">IF(M267&gt;0,N267*100/M267,0)</f>
        <v>0</v>
      </c>
      <c r="Q267" s="626">
        <f t="shared" ref="Q267:S267" ca="1" si="164">Q268+Q269</f>
        <v>47880</v>
      </c>
      <c r="R267" s="626">
        <f t="shared" ca="1" si="164"/>
        <v>47880</v>
      </c>
      <c r="S267" s="626">
        <f t="shared" ca="1" si="164"/>
        <v>0</v>
      </c>
      <c r="T267" s="626">
        <f t="shared" ref="T267:T275" ca="1" si="165">IF(Q267&gt;0,S267*100/Q267,0)</f>
        <v>0</v>
      </c>
      <c r="U267" s="626">
        <f t="shared" ref="U267:U275" ca="1" si="166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7">L271+L274</f>
        <v>0</v>
      </c>
      <c r="M268" s="48">
        <f t="shared" si="167"/>
        <v>0</v>
      </c>
      <c r="N268" s="48">
        <f t="shared" si="167"/>
        <v>0</v>
      </c>
      <c r="O268" s="48">
        <f t="shared" si="162"/>
        <v>0</v>
      </c>
      <c r="P268" s="48">
        <f t="shared" si="163"/>
        <v>0</v>
      </c>
      <c r="Q268" s="48">
        <f t="shared" ref="Q268:S269" si="168">Q271+Q274</f>
        <v>0</v>
      </c>
      <c r="R268" s="48">
        <f t="shared" si="168"/>
        <v>0</v>
      </c>
      <c r="S268" s="48">
        <f t="shared" si="168"/>
        <v>0</v>
      </c>
      <c r="T268" s="48">
        <f t="shared" si="165"/>
        <v>0</v>
      </c>
      <c r="U268" s="48">
        <f t="shared" si="166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7"/>
        <v>0</v>
      </c>
      <c r="M269" s="630">
        <f t="shared" ca="1" si="167"/>
        <v>5000</v>
      </c>
      <c r="N269" s="630">
        <f t="shared" ca="1" si="167"/>
        <v>0</v>
      </c>
      <c r="O269" s="630">
        <f t="shared" ca="1" si="162"/>
        <v>0</v>
      </c>
      <c r="P269" s="630">
        <f t="shared" ca="1" si="163"/>
        <v>0</v>
      </c>
      <c r="Q269" s="630">
        <f t="shared" ca="1" si="168"/>
        <v>47880</v>
      </c>
      <c r="R269" s="630">
        <f t="shared" ca="1" si="168"/>
        <v>47880</v>
      </c>
      <c r="S269" s="630">
        <f t="shared" ca="1" si="168"/>
        <v>0</v>
      </c>
      <c r="T269" s="630">
        <f t="shared" ca="1" si="165"/>
        <v>0</v>
      </c>
      <c r="U269" s="630">
        <f t="shared" ca="1" si="166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69">L271+L272</f>
        <v>0</v>
      </c>
      <c r="M270" s="630">
        <f t="shared" ca="1" si="169"/>
        <v>5000</v>
      </c>
      <c r="N270" s="630">
        <f t="shared" ca="1" si="169"/>
        <v>0</v>
      </c>
      <c r="O270" s="630">
        <f t="shared" ca="1" si="162"/>
        <v>0</v>
      </c>
      <c r="P270" s="630">
        <f t="shared" ca="1" si="163"/>
        <v>0</v>
      </c>
      <c r="Q270" s="630">
        <f t="shared" ref="Q270:S270" ca="1" si="170">Q271+Q272</f>
        <v>47880</v>
      </c>
      <c r="R270" s="630">
        <f t="shared" ca="1" si="170"/>
        <v>47880</v>
      </c>
      <c r="S270" s="630">
        <f t="shared" ca="1" si="170"/>
        <v>0</v>
      </c>
      <c r="T270" s="630">
        <f t="shared" ca="1" si="165"/>
        <v>0</v>
      </c>
      <c r="U270" s="630">
        <f t="shared" ca="1" si="166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2"/>
        <v>0</v>
      </c>
      <c r="P271" s="48">
        <f t="shared" si="163"/>
        <v>0</v>
      </c>
      <c r="Q271" s="48">
        <v>0</v>
      </c>
      <c r="R271" s="48">
        <v>0</v>
      </c>
      <c r="S271" s="48">
        <v>0</v>
      </c>
      <c r="T271" s="48">
        <f t="shared" si="165"/>
        <v>0</v>
      </c>
      <c r="U271" s="48">
        <f t="shared" si="166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IFERROR(__xludf.DUMMYFUNCTION("IMPORTRANGE(""https://docs.google.com/spreadsheets/d/1-uDff_7J0KD5mKrp0Vvzr7lt3OU09vwQwhkpOPPYv2Y/edit?usp=sharing"",""งบพรบ!DE80"")"),0)</f>
        <v>0</v>
      </c>
      <c r="M272" s="630">
        <f ca="1">IFERROR(__xludf.DUMMYFUNCTION("IMPORTRANGE(""https://docs.google.com/spreadsheets/d/1-uDff_7J0KD5mKrp0Vvzr7lt3OU09vwQwhkpOPPYv2Y/edit?usp=sharing"",""งบพรบ!DJ80"")"),5000)</f>
        <v>5000</v>
      </c>
      <c r="N272" s="630">
        <f ca="1">IFERROR(__xludf.DUMMYFUNCTION("IMPORTRANGE(""https://docs.google.com/spreadsheets/d/1-uDff_7J0KD5mKrp0Vvzr7lt3OU09vwQwhkpOPPYv2Y/edit?usp=sharing"",""งบพรบ!DL80"")"),0)</f>
        <v>0</v>
      </c>
      <c r="O272" s="630">
        <f t="shared" ca="1" si="162"/>
        <v>0</v>
      </c>
      <c r="P272" s="630">
        <f t="shared" ca="1" si="163"/>
        <v>0</v>
      </c>
      <c r="Q272" s="630">
        <f ca="1">IFERROR(__xludf.DUMMYFUNCTION("IMPORTRANGE(""https://docs.google.com/spreadsheets/d/1ItG2mGa2ceCfYo0BwxsXqNm01IGEUdYcSSLTEv9YCik/edit?usp=sharing"",""เบิกจ่ายกองทุน!AJ80"")"),47880)</f>
        <v>47880</v>
      </c>
      <c r="R272" s="630">
        <f ca="1">IFERROR(__xludf.DUMMYFUNCTION("IMPORTRANGE(""https://docs.google.com/spreadsheets/d/1ItG2mGa2ceCfYo0BwxsXqNm01IGEUdYcSSLTEv9YCik/edit?usp=sharing"",""เบิกจ่ายกองทุน!AK80"")"),47880)</f>
        <v>47880</v>
      </c>
      <c r="S272" s="630">
        <f ca="1">IFERROR(__xludf.DUMMYFUNCTION("IMPORTRANGE(""https://docs.google.com/spreadsheets/d/1ItG2mGa2ceCfYo0BwxsXqNm01IGEUdYcSSLTEv9YCik/edit?usp=sharing"",""เบิกจ่ายกองทุน!AL80"")"),0)</f>
        <v>0</v>
      </c>
      <c r="T272" s="630">
        <f t="shared" ca="1" si="165"/>
        <v>0</v>
      </c>
      <c r="U272" s="630">
        <f t="shared" ca="1" si="166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1">L274+L275</f>
        <v>0</v>
      </c>
      <c r="M273" s="630">
        <f t="shared" ca="1" si="171"/>
        <v>0</v>
      </c>
      <c r="N273" s="630">
        <f t="shared" ca="1" si="171"/>
        <v>0</v>
      </c>
      <c r="O273" s="630">
        <f t="shared" ca="1" si="162"/>
        <v>0</v>
      </c>
      <c r="P273" s="630">
        <f t="shared" ca="1" si="163"/>
        <v>0</v>
      </c>
      <c r="Q273" s="630">
        <f t="shared" ref="Q273:S273" si="172">Q274+Q275</f>
        <v>0</v>
      </c>
      <c r="R273" s="630">
        <f t="shared" si="172"/>
        <v>0</v>
      </c>
      <c r="S273" s="630">
        <f t="shared" si="172"/>
        <v>0</v>
      </c>
      <c r="T273" s="630">
        <f t="shared" si="165"/>
        <v>0</v>
      </c>
      <c r="U273" s="630">
        <f t="shared" si="166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2"/>
        <v>0</v>
      </c>
      <c r="P274" s="48">
        <f t="shared" si="163"/>
        <v>0</v>
      </c>
      <c r="Q274" s="48">
        <v>0</v>
      </c>
      <c r="R274" s="48">
        <v>0</v>
      </c>
      <c r="S274" s="48">
        <v>0</v>
      </c>
      <c r="T274" s="48">
        <f t="shared" si="165"/>
        <v>0</v>
      </c>
      <c r="U274" s="48">
        <f t="shared" si="166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IFERROR(__xludf.DUMMYFUNCTION("IMPORTRANGE(""https://docs.google.com/spreadsheets/d/1-uDff_7J0KD5mKrp0Vvzr7lt3OU09vwQwhkpOPPYv2Y/edit?usp=sharing"",""งบพรบ!DH80"")"),0)</f>
        <v>0</v>
      </c>
      <c r="M275" s="630">
        <f ca="1">IFERROR(__xludf.DUMMYFUNCTION("IMPORTRANGE(""https://docs.google.com/spreadsheets/d/1-uDff_7J0KD5mKrp0Vvzr7lt3OU09vwQwhkpOPPYv2Y/edit?usp=sharing"",""งบพรบ!DK80"")"),0)</f>
        <v>0</v>
      </c>
      <c r="N275" s="630">
        <f ca="1">IFERROR(__xludf.DUMMYFUNCTION("IMPORTRANGE(""https://docs.google.com/spreadsheets/d/1-uDff_7J0KD5mKrp0Vvzr7lt3OU09vwQwhkpOPPYv2Y/edit?usp=sharing"",""งบพรบ!DM80"")"),0)</f>
        <v>0</v>
      </c>
      <c r="O275" s="630">
        <f t="shared" ca="1" si="162"/>
        <v>0</v>
      </c>
      <c r="P275" s="630">
        <f t="shared" ca="1" si="163"/>
        <v>0</v>
      </c>
      <c r="Q275" s="630">
        <v>0</v>
      </c>
      <c r="R275" s="630">
        <v>0</v>
      </c>
      <c r="S275" s="630">
        <v>0</v>
      </c>
      <c r="T275" s="630">
        <f t="shared" si="165"/>
        <v>0</v>
      </c>
      <c r="U275" s="630">
        <f t="shared" si="166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792"/>
      <c r="B277" s="793"/>
      <c r="C277" s="793"/>
      <c r="D277" s="794" t="s">
        <v>115</v>
      </c>
      <c r="E277" s="795"/>
      <c r="F277" s="795"/>
      <c r="G277" s="796"/>
      <c r="H277" s="797" t="s">
        <v>35</v>
      </c>
      <c r="I277" s="798">
        <f ca="1">IFERROR(__xludf.DUMMYFUNCTION("IMPORTRANGE(""https://docs.google.com/spreadsheets/d/1eHaY18a8A9IcSdp1K8H6x8fbOy06t2VsZHhMHf-1x7Y/edit?usp=sharing"",""แผน!EC80"")"),20)</f>
        <v>20</v>
      </c>
      <c r="J277" s="799">
        <v>0</v>
      </c>
      <c r="K277" s="800">
        <f ca="1">IF(I277&gt;0,J277*100/I277,0)</f>
        <v>0</v>
      </c>
      <c r="L277" s="692"/>
      <c r="M277" s="624"/>
      <c r="N277" s="624"/>
      <c r="O277" s="624"/>
      <c r="P277" s="624"/>
      <c r="Q277" s="624"/>
      <c r="R277" s="624"/>
      <c r="S277" s="624"/>
      <c r="T277" s="624"/>
      <c r="U277" s="624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3">I294</f>
        <v>0</v>
      </c>
      <c r="J281" s="298">
        <f t="shared" si="173"/>
        <v>0</v>
      </c>
      <c r="K281" s="299">
        <f t="shared" ref="K281:K282" ca="1" si="174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5">I293</f>
        <v>0</v>
      </c>
      <c r="J282" s="298">
        <f t="shared" si="175"/>
        <v>0</v>
      </c>
      <c r="K282" s="299">
        <f t="shared" ca="1" si="174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6">L284+L285</f>
        <v>0</v>
      </c>
      <c r="M283" s="132">
        <f t="shared" ca="1" si="176"/>
        <v>0</v>
      </c>
      <c r="N283" s="132">
        <f t="shared" ca="1" si="176"/>
        <v>0</v>
      </c>
      <c r="O283" s="132">
        <f t="shared" ref="O283:O291" ca="1" si="177">IF(L283&gt;0,N283*100/L283,0)</f>
        <v>0</v>
      </c>
      <c r="P283" s="132">
        <f t="shared" ref="P283:P291" ca="1" si="178">IF(M283&gt;0,N283*100/M283,0)</f>
        <v>0</v>
      </c>
      <c r="Q283" s="132">
        <f t="shared" ref="Q283:S283" si="179">Q284+Q285</f>
        <v>0</v>
      </c>
      <c r="R283" s="132">
        <f t="shared" si="179"/>
        <v>0</v>
      </c>
      <c r="S283" s="132">
        <f t="shared" si="179"/>
        <v>0</v>
      </c>
      <c r="T283" s="132">
        <f t="shared" ref="T283:T291" si="180">IF(Q283&gt;0,S283*100/Q283,0)</f>
        <v>0</v>
      </c>
      <c r="U283" s="132">
        <f t="shared" ref="U283:U291" si="181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2">L287+L290</f>
        <v>0</v>
      </c>
      <c r="M284" s="48">
        <f t="shared" si="182"/>
        <v>0</v>
      </c>
      <c r="N284" s="48">
        <f t="shared" si="182"/>
        <v>0</v>
      </c>
      <c r="O284" s="48">
        <f t="shared" si="177"/>
        <v>0</v>
      </c>
      <c r="P284" s="48">
        <f t="shared" si="178"/>
        <v>0</v>
      </c>
      <c r="Q284" s="48">
        <f t="shared" ref="Q284:S285" si="183">Q287+Q290</f>
        <v>0</v>
      </c>
      <c r="R284" s="48">
        <f t="shared" si="183"/>
        <v>0</v>
      </c>
      <c r="S284" s="48">
        <f t="shared" si="183"/>
        <v>0</v>
      </c>
      <c r="T284" s="48">
        <f t="shared" si="180"/>
        <v>0</v>
      </c>
      <c r="U284" s="48">
        <f t="shared" si="181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2"/>
        <v>0</v>
      </c>
      <c r="M285" s="46">
        <f t="shared" ca="1" si="182"/>
        <v>0</v>
      </c>
      <c r="N285" s="46">
        <f t="shared" ca="1" si="182"/>
        <v>0</v>
      </c>
      <c r="O285" s="46">
        <f t="shared" ca="1" si="177"/>
        <v>0</v>
      </c>
      <c r="P285" s="46">
        <f t="shared" ca="1" si="178"/>
        <v>0</v>
      </c>
      <c r="Q285" s="46">
        <f t="shared" si="183"/>
        <v>0</v>
      </c>
      <c r="R285" s="46">
        <f t="shared" si="183"/>
        <v>0</v>
      </c>
      <c r="S285" s="46">
        <f t="shared" si="183"/>
        <v>0</v>
      </c>
      <c r="T285" s="46">
        <f t="shared" si="180"/>
        <v>0</v>
      </c>
      <c r="U285" s="46">
        <f t="shared" si="181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4">L287+L288</f>
        <v>0</v>
      </c>
      <c r="M286" s="46">
        <f t="shared" ca="1" si="184"/>
        <v>0</v>
      </c>
      <c r="N286" s="46">
        <f t="shared" ca="1" si="184"/>
        <v>0</v>
      </c>
      <c r="O286" s="46">
        <f t="shared" ca="1" si="177"/>
        <v>0</v>
      </c>
      <c r="P286" s="46">
        <f t="shared" ca="1" si="178"/>
        <v>0</v>
      </c>
      <c r="Q286" s="46">
        <f t="shared" ref="Q286:S286" si="185">Q287+Q288</f>
        <v>0</v>
      </c>
      <c r="R286" s="46">
        <f t="shared" si="185"/>
        <v>0</v>
      </c>
      <c r="S286" s="46">
        <f t="shared" si="185"/>
        <v>0</v>
      </c>
      <c r="T286" s="46">
        <f t="shared" si="180"/>
        <v>0</v>
      </c>
      <c r="U286" s="46">
        <f t="shared" si="181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7"/>
        <v>0</v>
      </c>
      <c r="P287" s="48">
        <f t="shared" si="178"/>
        <v>0</v>
      </c>
      <c r="Q287" s="48">
        <v>0</v>
      </c>
      <c r="R287" s="48">
        <v>0</v>
      </c>
      <c r="S287" s="48">
        <v>0</v>
      </c>
      <c r="T287" s="48">
        <f t="shared" si="180"/>
        <v>0</v>
      </c>
      <c r="U287" s="48">
        <f t="shared" si="181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IFERROR(__xludf.DUMMYFUNCTION("IMPORTRANGE(""https://docs.google.com/spreadsheets/d/1-uDff_7J0KD5mKrp0Vvzr7lt3OU09vwQwhkpOPPYv2Y/edit?usp=sharing"",""งบพรบ!DO80"")"),0)</f>
        <v>0</v>
      </c>
      <c r="M288" s="46">
        <f ca="1">IFERROR(__xludf.DUMMYFUNCTION("IMPORTRANGE(""https://docs.google.com/spreadsheets/d/1-uDff_7J0KD5mKrp0Vvzr7lt3OU09vwQwhkpOPPYv2Y/edit?usp=sharing"",""งบพรบ!DT80"")"),0)</f>
        <v>0</v>
      </c>
      <c r="N288" s="46">
        <f ca="1">IFERROR(__xludf.DUMMYFUNCTION("IMPORTRANGE(""https://docs.google.com/spreadsheets/d/1-uDff_7J0KD5mKrp0Vvzr7lt3OU09vwQwhkpOPPYv2Y/edit?usp=sharing"",""งบพรบ!DV80"")"),0)</f>
        <v>0</v>
      </c>
      <c r="O288" s="46">
        <f t="shared" ca="1" si="177"/>
        <v>0</v>
      </c>
      <c r="P288" s="46">
        <f t="shared" ca="1" si="178"/>
        <v>0</v>
      </c>
      <c r="Q288" s="46">
        <v>0</v>
      </c>
      <c r="R288" s="46">
        <v>0</v>
      </c>
      <c r="S288" s="46">
        <v>0</v>
      </c>
      <c r="T288" s="48">
        <f t="shared" si="180"/>
        <v>0</v>
      </c>
      <c r="U288" s="48">
        <f t="shared" si="181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6">L290+L291</f>
        <v>0</v>
      </c>
      <c r="M289" s="46">
        <f t="shared" ca="1" si="186"/>
        <v>0</v>
      </c>
      <c r="N289" s="46">
        <f t="shared" ca="1" si="186"/>
        <v>0</v>
      </c>
      <c r="O289" s="46">
        <f t="shared" ca="1" si="177"/>
        <v>0</v>
      </c>
      <c r="P289" s="46">
        <f t="shared" ca="1" si="178"/>
        <v>0</v>
      </c>
      <c r="Q289" s="46">
        <f t="shared" ref="Q289:S289" si="187">Q290+Q291</f>
        <v>0</v>
      </c>
      <c r="R289" s="46">
        <f t="shared" si="187"/>
        <v>0</v>
      </c>
      <c r="S289" s="46">
        <f t="shared" si="187"/>
        <v>0</v>
      </c>
      <c r="T289" s="46">
        <f t="shared" si="180"/>
        <v>0</v>
      </c>
      <c r="U289" s="46">
        <f t="shared" si="181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7"/>
        <v>0</v>
      </c>
      <c r="P290" s="48">
        <f t="shared" si="178"/>
        <v>0</v>
      </c>
      <c r="Q290" s="48">
        <v>0</v>
      </c>
      <c r="R290" s="48">
        <v>0</v>
      </c>
      <c r="S290" s="48">
        <v>0</v>
      </c>
      <c r="T290" s="48">
        <f t="shared" si="180"/>
        <v>0</v>
      </c>
      <c r="U290" s="48">
        <f t="shared" si="181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IFERROR(__xludf.DUMMYFUNCTION("IMPORTRANGE(""https://docs.google.com/spreadsheets/d/1-uDff_7J0KD5mKrp0Vvzr7lt3OU09vwQwhkpOPPYv2Y/edit?usp=sharing"",""งบพรบ!DR80"")"),0)</f>
        <v>0</v>
      </c>
      <c r="M291" s="46">
        <f ca="1">IFERROR(__xludf.DUMMYFUNCTION("IMPORTRANGE(""https://docs.google.com/spreadsheets/d/1-uDff_7J0KD5mKrp0Vvzr7lt3OU09vwQwhkpOPPYv2Y/edit?usp=sharing"",""งบพรบ!DU80"")"),0)</f>
        <v>0</v>
      </c>
      <c r="N291" s="46">
        <f ca="1">IFERROR(__xludf.DUMMYFUNCTION("IMPORTRANGE(""https://docs.google.com/spreadsheets/d/1-uDff_7J0KD5mKrp0Vvzr7lt3OU09vwQwhkpOPPYv2Y/edit?usp=sharing"",""งบพรบ!DW80"")"),0)</f>
        <v>0</v>
      </c>
      <c r="O291" s="46">
        <f t="shared" ca="1" si="177"/>
        <v>0</v>
      </c>
      <c r="P291" s="46">
        <f t="shared" ca="1" si="178"/>
        <v>0</v>
      </c>
      <c r="Q291" s="46">
        <v>0</v>
      </c>
      <c r="R291" s="46">
        <v>0</v>
      </c>
      <c r="S291" s="46">
        <v>0</v>
      </c>
      <c r="T291" s="46">
        <f t="shared" si="180"/>
        <v>0</v>
      </c>
      <c r="U291" s="46">
        <f t="shared" si="181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IFERROR(__xludf.DUMMYFUNCTION("IMPORTRANGE(""https://docs.google.com/spreadsheets/d/1eHaY18a8A9IcSdp1K8H6x8fbOy06t2VsZHhMHf-1x7Y/edit?usp=sharing"",""แผน!EE80"")"),0)</f>
        <v>0</v>
      </c>
      <c r="J293" s="168">
        <v>0</v>
      </c>
      <c r="K293" s="153">
        <f t="shared" ref="K293:K294" ca="1" si="188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IFERROR(__xludf.DUMMYFUNCTION("IMPORTRANGE(""https://docs.google.com/spreadsheets/d/1eHaY18a8A9IcSdp1K8H6x8fbOy06t2VsZHhMHf-1x7Y/edit?usp=sharing"",""แผน!ED80"")"),0)</f>
        <v>0</v>
      </c>
      <c r="J294" s="147">
        <f>J297</f>
        <v>0</v>
      </c>
      <c r="K294" s="148">
        <f t="shared" ca="1" si="188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8">
        <v>0</v>
      </c>
      <c r="K296" s="153">
        <f t="shared" ref="K296:K297" ca="1" si="189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IFERROR(__xludf.DUMMYFUNCTION("IMPORTRANGE(""https://docs.google.com/spreadsheets/d/1eHaY18a8A9IcSdp1K8H6x8fbOy06t2VsZHhMHf-1x7Y/edit?usp=sharing"",""แผน!ED80"")"),0)</f>
        <v>0</v>
      </c>
      <c r="J297" s="168">
        <v>0</v>
      </c>
      <c r="K297" s="153">
        <f t="shared" ca="1" si="189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0">I315</f>
        <v>20</v>
      </c>
      <c r="J303" s="321">
        <f t="shared" si="190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1">L305+L306</f>
        <v>0</v>
      </c>
      <c r="M304" s="132">
        <f t="shared" ca="1" si="191"/>
        <v>0</v>
      </c>
      <c r="N304" s="132">
        <f t="shared" ca="1" si="191"/>
        <v>0</v>
      </c>
      <c r="O304" s="132">
        <f t="shared" ref="O304:O312" ca="1" si="192">IF(L304&gt;0,N304*100/L304,0)</f>
        <v>0</v>
      </c>
      <c r="P304" s="132">
        <f t="shared" ref="P304:P312" ca="1" si="193">IF(M304&gt;0,N304*100/M304,0)</f>
        <v>0</v>
      </c>
      <c r="Q304" s="132">
        <f t="shared" ref="Q304:S304" ca="1" si="194">Q305+Q306</f>
        <v>194611.99</v>
      </c>
      <c r="R304" s="132">
        <f t="shared" ca="1" si="194"/>
        <v>194612</v>
      </c>
      <c r="S304" s="132">
        <f t="shared" ca="1" si="194"/>
        <v>12000</v>
      </c>
      <c r="T304" s="132">
        <f t="shared" ref="T304:T312" ca="1" si="195">IF(Q304&gt;0,S304*100/Q304,0)</f>
        <v>6.1661154587648994</v>
      </c>
      <c r="U304" s="132">
        <f t="shared" ref="U304:U312" ca="1" si="196">IF(R304&gt;0,S304*100/R304,0)</f>
        <v>6.1661151419234166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7">L308+L311</f>
        <v>0</v>
      </c>
      <c r="M305" s="48">
        <f t="shared" si="197"/>
        <v>0</v>
      </c>
      <c r="N305" s="48">
        <f t="shared" si="197"/>
        <v>0</v>
      </c>
      <c r="O305" s="48">
        <f t="shared" si="192"/>
        <v>0</v>
      </c>
      <c r="P305" s="48">
        <f t="shared" si="193"/>
        <v>0</v>
      </c>
      <c r="Q305" s="48">
        <f t="shared" ref="Q305:S306" si="198">Q308+Q311</f>
        <v>0</v>
      </c>
      <c r="R305" s="48">
        <f t="shared" si="198"/>
        <v>0</v>
      </c>
      <c r="S305" s="48">
        <f t="shared" si="198"/>
        <v>0</v>
      </c>
      <c r="T305" s="48">
        <f t="shared" si="195"/>
        <v>0</v>
      </c>
      <c r="U305" s="48">
        <f t="shared" si="196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7"/>
        <v>0</v>
      </c>
      <c r="M306" s="46">
        <f t="shared" ca="1" si="197"/>
        <v>0</v>
      </c>
      <c r="N306" s="46">
        <f t="shared" ca="1" si="197"/>
        <v>0</v>
      </c>
      <c r="O306" s="46">
        <f t="shared" ca="1" si="192"/>
        <v>0</v>
      </c>
      <c r="P306" s="46">
        <f t="shared" ca="1" si="193"/>
        <v>0</v>
      </c>
      <c r="Q306" s="46">
        <f t="shared" ca="1" si="198"/>
        <v>194611.99</v>
      </c>
      <c r="R306" s="46">
        <f t="shared" ca="1" si="198"/>
        <v>194612</v>
      </c>
      <c r="S306" s="46">
        <f t="shared" ca="1" si="198"/>
        <v>12000</v>
      </c>
      <c r="T306" s="46">
        <f t="shared" ca="1" si="195"/>
        <v>6.1661154587648994</v>
      </c>
      <c r="U306" s="46">
        <f t="shared" ca="1" si="196"/>
        <v>6.1661151419234166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199">L308+L309</f>
        <v>0</v>
      </c>
      <c r="M307" s="46">
        <f t="shared" ca="1" si="199"/>
        <v>0</v>
      </c>
      <c r="N307" s="46">
        <f t="shared" ca="1" si="199"/>
        <v>0</v>
      </c>
      <c r="O307" s="46">
        <f t="shared" ca="1" si="192"/>
        <v>0</v>
      </c>
      <c r="P307" s="46">
        <f t="shared" ca="1" si="193"/>
        <v>0</v>
      </c>
      <c r="Q307" s="46">
        <f t="shared" ref="Q307:S307" ca="1" si="200">Q308+Q309</f>
        <v>194611.99</v>
      </c>
      <c r="R307" s="46">
        <f t="shared" ca="1" si="200"/>
        <v>194612</v>
      </c>
      <c r="S307" s="46">
        <f t="shared" ca="1" si="200"/>
        <v>12000</v>
      </c>
      <c r="T307" s="46">
        <f t="shared" ca="1" si="195"/>
        <v>6.1661154587648994</v>
      </c>
      <c r="U307" s="46">
        <f t="shared" ca="1" si="196"/>
        <v>6.1661151419234166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2"/>
        <v>0</v>
      </c>
      <c r="P308" s="48">
        <f t="shared" si="193"/>
        <v>0</v>
      </c>
      <c r="Q308" s="48">
        <v>0</v>
      </c>
      <c r="R308" s="48">
        <v>0</v>
      </c>
      <c r="S308" s="48">
        <v>0</v>
      </c>
      <c r="T308" s="48">
        <f t="shared" si="195"/>
        <v>0</v>
      </c>
      <c r="U308" s="48">
        <f t="shared" si="196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IFERROR(__xludf.DUMMYFUNCTION("IMPORTRANGE(""https://docs.google.com/spreadsheets/d/1-uDff_7J0KD5mKrp0Vvzr7lt3OU09vwQwhkpOPPYv2Y/edit?usp=sharing"",""งบพรบ!DY80"")"),0)</f>
        <v>0</v>
      </c>
      <c r="M309" s="46">
        <f ca="1">IFERROR(__xludf.DUMMYFUNCTION("IMPORTRANGE(""https://docs.google.com/spreadsheets/d/1-uDff_7J0KD5mKrp0Vvzr7lt3OU09vwQwhkpOPPYv2Y/edit?usp=sharing"",""งบพรบ!ED80"")"),0)</f>
        <v>0</v>
      </c>
      <c r="N309" s="46">
        <f ca="1">IFERROR(__xludf.DUMMYFUNCTION("IMPORTRANGE(""https://docs.google.com/spreadsheets/d/1-uDff_7J0KD5mKrp0Vvzr7lt3OU09vwQwhkpOPPYv2Y/edit?usp=sharing"",""งบพรบ!EF80"")"),0)</f>
        <v>0</v>
      </c>
      <c r="O309" s="46">
        <f t="shared" ca="1" si="192"/>
        <v>0</v>
      </c>
      <c r="P309" s="46">
        <f t="shared" ca="1" si="193"/>
        <v>0</v>
      </c>
      <c r="Q309" s="46">
        <f ca="1">IFERROR(__xludf.DUMMYFUNCTION("IMPORTRANGE(""https://docs.google.com/spreadsheets/d/1ItG2mGa2ceCfYo0BwxsXqNm01IGEUdYcSSLTEv9YCik/edit?usp=sharing"",""เบิกจ่ายกองทุน!AP80"")"),194611.99)</f>
        <v>194611.99</v>
      </c>
      <c r="R309" s="46">
        <f ca="1">IFERROR(__xludf.DUMMYFUNCTION("IMPORTRANGE(""https://docs.google.com/spreadsheets/d/1ItG2mGa2ceCfYo0BwxsXqNm01IGEUdYcSSLTEv9YCik/edit?usp=sharing"",""เบิกจ่ายกองทุน!AQ80"")"),194612)</f>
        <v>194612</v>
      </c>
      <c r="S309" s="46">
        <f ca="1">IFERROR(__xludf.DUMMYFUNCTION("IMPORTRANGE(""https://docs.google.com/spreadsheets/d/1ItG2mGa2ceCfYo0BwxsXqNm01IGEUdYcSSLTEv9YCik/edit?usp=sharing"",""เบิกจ่ายกองทุน!AR80"")"),12000)</f>
        <v>12000</v>
      </c>
      <c r="T309" s="46">
        <f t="shared" ca="1" si="195"/>
        <v>6.1661154587648994</v>
      </c>
      <c r="U309" s="46">
        <f t="shared" ca="1" si="196"/>
        <v>6.1661151419234166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1">L311+L312</f>
        <v>0</v>
      </c>
      <c r="M310" s="46">
        <f t="shared" ca="1" si="201"/>
        <v>0</v>
      </c>
      <c r="N310" s="46">
        <f t="shared" ca="1" si="201"/>
        <v>0</v>
      </c>
      <c r="O310" s="46">
        <f t="shared" ca="1" si="192"/>
        <v>0</v>
      </c>
      <c r="P310" s="46">
        <f t="shared" ca="1" si="193"/>
        <v>0</v>
      </c>
      <c r="Q310" s="46">
        <f t="shared" ref="Q310:S310" si="202">Q311+Q312</f>
        <v>0</v>
      </c>
      <c r="R310" s="46">
        <f t="shared" si="202"/>
        <v>0</v>
      </c>
      <c r="S310" s="46">
        <f t="shared" si="202"/>
        <v>0</v>
      </c>
      <c r="T310" s="46">
        <f t="shared" si="195"/>
        <v>0</v>
      </c>
      <c r="U310" s="46">
        <f t="shared" si="196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2"/>
        <v>0</v>
      </c>
      <c r="P311" s="48">
        <f t="shared" si="193"/>
        <v>0</v>
      </c>
      <c r="Q311" s="48">
        <v>0</v>
      </c>
      <c r="R311" s="48">
        <v>0</v>
      </c>
      <c r="S311" s="48">
        <v>0</v>
      </c>
      <c r="T311" s="48">
        <f t="shared" si="195"/>
        <v>0</v>
      </c>
      <c r="U311" s="48">
        <f t="shared" si="196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IFERROR(__xludf.DUMMYFUNCTION("IMPORTRANGE(""https://docs.google.com/spreadsheets/d/1-uDff_7J0KD5mKrp0Vvzr7lt3OU09vwQwhkpOPPYv2Y/edit?usp=sharing"",""งบพรบ!EB80"")"),0)</f>
        <v>0</v>
      </c>
      <c r="M312" s="46">
        <f ca="1">IFERROR(__xludf.DUMMYFUNCTION("IMPORTRANGE(""https://docs.google.com/spreadsheets/d/1-uDff_7J0KD5mKrp0Vvzr7lt3OU09vwQwhkpOPPYv2Y/edit?usp=sharing"",""งบพรบ!EE80"")"),0)</f>
        <v>0</v>
      </c>
      <c r="N312" s="46">
        <f ca="1">IFERROR(__xludf.DUMMYFUNCTION("IMPORTRANGE(""https://docs.google.com/spreadsheets/d/1-uDff_7J0KD5mKrp0Vvzr7lt3OU09vwQwhkpOPPYv2Y/edit?usp=sharing"",""งบพรบ!EG80"")"),0)</f>
        <v>0</v>
      </c>
      <c r="O312" s="46">
        <f t="shared" ca="1" si="192"/>
        <v>0</v>
      </c>
      <c r="P312" s="46">
        <f t="shared" ca="1" si="193"/>
        <v>0</v>
      </c>
      <c r="Q312" s="46">
        <v>0</v>
      </c>
      <c r="R312" s="46">
        <v>0</v>
      </c>
      <c r="S312" s="46">
        <v>0</v>
      </c>
      <c r="T312" s="46">
        <f t="shared" si="195"/>
        <v>0</v>
      </c>
      <c r="U312" s="46">
        <f t="shared" si="196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IFERROR(__xludf.DUMMYFUNCTION("IMPORTRANGE(""https://docs.google.com/spreadsheets/d/1eHaY18a8A9IcSdp1K8H6x8fbOy06t2VsZHhMHf-1x7Y/edit?usp=sharing"",""แผน!EF80"")"),20)</f>
        <v>20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3">I331</f>
        <v>0</v>
      </c>
      <c r="J320" s="321">
        <f t="shared" si="203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4">L322+L323</f>
        <v>0</v>
      </c>
      <c r="M321" s="132">
        <f t="shared" ca="1" si="204"/>
        <v>0</v>
      </c>
      <c r="N321" s="132">
        <f t="shared" ca="1" si="204"/>
        <v>0</v>
      </c>
      <c r="O321" s="132">
        <f t="shared" ref="O321:O329" ca="1" si="205">IF(L321&gt;0,N321*100/L321,0)</f>
        <v>0</v>
      </c>
      <c r="P321" s="132">
        <f t="shared" ref="P321:P329" ca="1" si="206">IF(M321&gt;0,N321*100/M321,0)</f>
        <v>0</v>
      </c>
      <c r="Q321" s="132">
        <f t="shared" ref="Q321:S321" si="207">Q322+Q323</f>
        <v>0</v>
      </c>
      <c r="R321" s="132">
        <f t="shared" si="207"/>
        <v>0</v>
      </c>
      <c r="S321" s="132">
        <f t="shared" si="207"/>
        <v>0</v>
      </c>
      <c r="T321" s="132">
        <f t="shared" ref="T321:T329" si="208">IF(Q321&gt;0,S321*100/Q321,0)</f>
        <v>0</v>
      </c>
      <c r="U321" s="132">
        <f t="shared" ref="U321:U329" si="209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0">L325+L328</f>
        <v>0</v>
      </c>
      <c r="M322" s="48">
        <f t="shared" si="210"/>
        <v>0</v>
      </c>
      <c r="N322" s="48">
        <f t="shared" si="210"/>
        <v>0</v>
      </c>
      <c r="O322" s="48">
        <f t="shared" si="205"/>
        <v>0</v>
      </c>
      <c r="P322" s="48">
        <f t="shared" si="206"/>
        <v>0</v>
      </c>
      <c r="Q322" s="48">
        <f t="shared" ref="Q322:S323" si="211">Q325+Q328</f>
        <v>0</v>
      </c>
      <c r="R322" s="48">
        <f t="shared" si="211"/>
        <v>0</v>
      </c>
      <c r="S322" s="48">
        <f t="shared" si="211"/>
        <v>0</v>
      </c>
      <c r="T322" s="48">
        <f t="shared" si="208"/>
        <v>0</v>
      </c>
      <c r="U322" s="48">
        <f t="shared" si="209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0"/>
        <v>0</v>
      </c>
      <c r="M323" s="46">
        <f t="shared" ca="1" si="210"/>
        <v>0</v>
      </c>
      <c r="N323" s="46">
        <f t="shared" ca="1" si="210"/>
        <v>0</v>
      </c>
      <c r="O323" s="46">
        <f t="shared" ca="1" si="205"/>
        <v>0</v>
      </c>
      <c r="P323" s="46">
        <f t="shared" ca="1" si="206"/>
        <v>0</v>
      </c>
      <c r="Q323" s="46">
        <f t="shared" si="211"/>
        <v>0</v>
      </c>
      <c r="R323" s="46">
        <f t="shared" si="211"/>
        <v>0</v>
      </c>
      <c r="S323" s="46">
        <f t="shared" si="211"/>
        <v>0</v>
      </c>
      <c r="T323" s="46">
        <f t="shared" si="208"/>
        <v>0</v>
      </c>
      <c r="U323" s="46">
        <f t="shared" si="209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2">L325+L326</f>
        <v>0</v>
      </c>
      <c r="M324" s="46">
        <f t="shared" ca="1" si="212"/>
        <v>0</v>
      </c>
      <c r="N324" s="46">
        <f t="shared" ca="1" si="212"/>
        <v>0</v>
      </c>
      <c r="O324" s="46">
        <f t="shared" ca="1" si="205"/>
        <v>0</v>
      </c>
      <c r="P324" s="46">
        <f t="shared" ca="1" si="206"/>
        <v>0</v>
      </c>
      <c r="Q324" s="46">
        <f t="shared" ref="Q324:S324" si="213">Q325+Q326</f>
        <v>0</v>
      </c>
      <c r="R324" s="46">
        <f t="shared" si="213"/>
        <v>0</v>
      </c>
      <c r="S324" s="46">
        <f t="shared" si="213"/>
        <v>0</v>
      </c>
      <c r="T324" s="46">
        <f t="shared" si="208"/>
        <v>0</v>
      </c>
      <c r="U324" s="46">
        <f t="shared" si="209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5"/>
        <v>0</v>
      </c>
      <c r="P325" s="48">
        <f t="shared" si="206"/>
        <v>0</v>
      </c>
      <c r="Q325" s="48">
        <v>0</v>
      </c>
      <c r="R325" s="48">
        <v>0</v>
      </c>
      <c r="S325" s="48">
        <v>0</v>
      </c>
      <c r="T325" s="48">
        <f t="shared" si="208"/>
        <v>0</v>
      </c>
      <c r="U325" s="48">
        <f t="shared" si="209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IFERROR(__xludf.DUMMYFUNCTION("IMPORTRANGE(""https://docs.google.com/spreadsheets/d/1-uDff_7J0KD5mKrp0Vvzr7lt3OU09vwQwhkpOPPYv2Y/edit?usp=sharing"",""งบพรบ!EI80"")"),0)</f>
        <v>0</v>
      </c>
      <c r="M326" s="46">
        <f ca="1">IFERROR(__xludf.DUMMYFUNCTION("IMPORTRANGE(""https://docs.google.com/spreadsheets/d/1-uDff_7J0KD5mKrp0Vvzr7lt3OU09vwQwhkpOPPYv2Y/edit?usp=sharing"",""งบพรบ!EN80"")"),0)</f>
        <v>0</v>
      </c>
      <c r="N326" s="46">
        <f ca="1">IFERROR(__xludf.DUMMYFUNCTION("IMPORTRANGE(""https://docs.google.com/spreadsheets/d/1-uDff_7J0KD5mKrp0Vvzr7lt3OU09vwQwhkpOPPYv2Y/edit?usp=sharing"",""งบพรบ!EP80"")"),0)</f>
        <v>0</v>
      </c>
      <c r="O326" s="46">
        <f t="shared" ca="1" si="205"/>
        <v>0</v>
      </c>
      <c r="P326" s="46">
        <f t="shared" ca="1" si="206"/>
        <v>0</v>
      </c>
      <c r="Q326" s="46">
        <v>0</v>
      </c>
      <c r="R326" s="46">
        <v>0</v>
      </c>
      <c r="S326" s="46">
        <v>0</v>
      </c>
      <c r="T326" s="46">
        <f t="shared" si="208"/>
        <v>0</v>
      </c>
      <c r="U326" s="46">
        <f t="shared" si="209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4">L328+L329</f>
        <v>0</v>
      </c>
      <c r="M327" s="46">
        <f t="shared" ca="1" si="214"/>
        <v>0</v>
      </c>
      <c r="N327" s="46">
        <f t="shared" ca="1" si="214"/>
        <v>0</v>
      </c>
      <c r="O327" s="46">
        <f t="shared" ca="1" si="205"/>
        <v>0</v>
      </c>
      <c r="P327" s="46">
        <f t="shared" ca="1" si="206"/>
        <v>0</v>
      </c>
      <c r="Q327" s="46">
        <f t="shared" ref="Q327:S327" si="215">Q328+Q329</f>
        <v>0</v>
      </c>
      <c r="R327" s="46">
        <f t="shared" si="215"/>
        <v>0</v>
      </c>
      <c r="S327" s="46">
        <f t="shared" si="215"/>
        <v>0</v>
      </c>
      <c r="T327" s="46">
        <f t="shared" si="208"/>
        <v>0</v>
      </c>
      <c r="U327" s="46">
        <f t="shared" si="209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5"/>
        <v>0</v>
      </c>
      <c r="P328" s="48">
        <f t="shared" si="206"/>
        <v>0</v>
      </c>
      <c r="Q328" s="48">
        <v>0</v>
      </c>
      <c r="R328" s="48">
        <v>0</v>
      </c>
      <c r="S328" s="48">
        <v>0</v>
      </c>
      <c r="T328" s="48">
        <f t="shared" si="208"/>
        <v>0</v>
      </c>
      <c r="U328" s="48">
        <f t="shared" si="209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IFERROR(__xludf.DUMMYFUNCTION("IMPORTRANGE(""https://docs.google.com/spreadsheets/d/1-uDff_7J0KD5mKrp0Vvzr7lt3OU09vwQwhkpOPPYv2Y/edit?usp=sharing"",""งบพรบ!EL80"")"),0)</f>
        <v>0</v>
      </c>
      <c r="M329" s="46">
        <f ca="1">IFERROR(__xludf.DUMMYFUNCTION("IMPORTRANGE(""https://docs.google.com/spreadsheets/d/1-uDff_7J0KD5mKrp0Vvzr7lt3OU09vwQwhkpOPPYv2Y/edit?usp=sharing"",""งบพรบ!EO80"")"),0)</f>
        <v>0</v>
      </c>
      <c r="N329" s="46">
        <f ca="1">IFERROR(__xludf.DUMMYFUNCTION("IMPORTRANGE(""https://docs.google.com/spreadsheets/d/1-uDff_7J0KD5mKrp0Vvzr7lt3OU09vwQwhkpOPPYv2Y/edit?usp=sharing"",""งบพรบ!EQ80"")"),0)</f>
        <v>0</v>
      </c>
      <c r="O329" s="46">
        <f t="shared" ca="1" si="205"/>
        <v>0</v>
      </c>
      <c r="P329" s="46">
        <f t="shared" ca="1" si="206"/>
        <v>0</v>
      </c>
      <c r="Q329" s="46">
        <v>0</v>
      </c>
      <c r="R329" s="46">
        <v>0</v>
      </c>
      <c r="S329" s="46">
        <v>0</v>
      </c>
      <c r="T329" s="46">
        <f t="shared" si="208"/>
        <v>0</v>
      </c>
      <c r="U329" s="46">
        <f t="shared" si="209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IFERROR(__xludf.DUMMYFUNCTION("IMPORTRANGE(""https://docs.google.com/spreadsheets/d/1eHaY18a8A9IcSdp1K8H6x8fbOy06t2VsZHhMHf-1x7Y/edit?usp=sharing"",""แผน!EJ80"")"),0)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200</v>
      </c>
      <c r="J333" s="665">
        <f ca="1">J345+J348+J349+J350+J354</f>
        <v>737</v>
      </c>
      <c r="K333" s="666">
        <f ca="1">IF(I333&gt;0,J333*100/I333,0)</f>
        <v>368.5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6">L335+L336</f>
        <v>99000</v>
      </c>
      <c r="M334" s="132">
        <f t="shared" ca="1" si="216"/>
        <v>104000</v>
      </c>
      <c r="N334" s="132">
        <f t="shared" ca="1" si="216"/>
        <v>69070</v>
      </c>
      <c r="O334" s="132">
        <f t="shared" ref="O334:O342" ca="1" si="217">IF(L334&gt;0,N334*100/L334,0)</f>
        <v>69.767676767676761</v>
      </c>
      <c r="P334" s="132">
        <f t="shared" ref="P334:P342" ca="1" si="218">IF(M334&gt;0,N334*100/M334,0)</f>
        <v>66.413461538461533</v>
      </c>
      <c r="Q334" s="132">
        <f t="shared" ref="Q334:S334" si="219">Q335+Q336</f>
        <v>0</v>
      </c>
      <c r="R334" s="132">
        <f t="shared" si="219"/>
        <v>0</v>
      </c>
      <c r="S334" s="132">
        <f t="shared" si="219"/>
        <v>0</v>
      </c>
      <c r="T334" s="132">
        <f t="shared" ref="T334:T342" si="220">IF(Q334&gt;0,S334*100/Q334,0)</f>
        <v>0</v>
      </c>
      <c r="U334" s="132">
        <f t="shared" ref="U334:U342" si="221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2">L338+L341</f>
        <v>0</v>
      </c>
      <c r="M335" s="48">
        <f t="shared" si="222"/>
        <v>0</v>
      </c>
      <c r="N335" s="48">
        <f t="shared" si="222"/>
        <v>0</v>
      </c>
      <c r="O335" s="48">
        <f t="shared" si="217"/>
        <v>0</v>
      </c>
      <c r="P335" s="48">
        <f t="shared" si="218"/>
        <v>0</v>
      </c>
      <c r="Q335" s="48">
        <f t="shared" ref="Q335:S336" si="223">Q338+Q341</f>
        <v>0</v>
      </c>
      <c r="R335" s="48">
        <f t="shared" si="223"/>
        <v>0</v>
      </c>
      <c r="S335" s="48">
        <f t="shared" si="223"/>
        <v>0</v>
      </c>
      <c r="T335" s="48">
        <f t="shared" si="220"/>
        <v>0</v>
      </c>
      <c r="U335" s="48">
        <f t="shared" si="221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2"/>
        <v>99000</v>
      </c>
      <c r="M336" s="46">
        <f t="shared" ca="1" si="222"/>
        <v>104000</v>
      </c>
      <c r="N336" s="46">
        <f t="shared" ca="1" si="222"/>
        <v>69070</v>
      </c>
      <c r="O336" s="46">
        <f t="shared" ca="1" si="217"/>
        <v>69.767676767676761</v>
      </c>
      <c r="P336" s="46">
        <f t="shared" ca="1" si="218"/>
        <v>66.413461538461533</v>
      </c>
      <c r="Q336" s="46">
        <f t="shared" si="223"/>
        <v>0</v>
      </c>
      <c r="R336" s="46">
        <f t="shared" si="223"/>
        <v>0</v>
      </c>
      <c r="S336" s="46">
        <f t="shared" si="223"/>
        <v>0</v>
      </c>
      <c r="T336" s="46">
        <f t="shared" si="220"/>
        <v>0</v>
      </c>
      <c r="U336" s="46">
        <f t="shared" si="221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4">L338+L339</f>
        <v>99000</v>
      </c>
      <c r="M337" s="46">
        <f t="shared" ca="1" si="224"/>
        <v>104000</v>
      </c>
      <c r="N337" s="46">
        <f t="shared" ca="1" si="224"/>
        <v>69070</v>
      </c>
      <c r="O337" s="46">
        <f t="shared" ca="1" si="217"/>
        <v>69.767676767676761</v>
      </c>
      <c r="P337" s="46">
        <f t="shared" ca="1" si="218"/>
        <v>66.413461538461533</v>
      </c>
      <c r="Q337" s="46">
        <f t="shared" ref="Q337:S337" si="225">Q338+Q339</f>
        <v>0</v>
      </c>
      <c r="R337" s="46">
        <f t="shared" si="225"/>
        <v>0</v>
      </c>
      <c r="S337" s="46">
        <f t="shared" si="225"/>
        <v>0</v>
      </c>
      <c r="T337" s="46">
        <f t="shared" si="220"/>
        <v>0</v>
      </c>
      <c r="U337" s="46">
        <f t="shared" si="221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7"/>
        <v>0</v>
      </c>
      <c r="P338" s="48">
        <f t="shared" si="218"/>
        <v>0</v>
      </c>
      <c r="Q338" s="48">
        <v>0</v>
      </c>
      <c r="R338" s="48">
        <v>0</v>
      </c>
      <c r="S338" s="48">
        <v>0</v>
      </c>
      <c r="T338" s="48">
        <f t="shared" si="220"/>
        <v>0</v>
      </c>
      <c r="U338" s="48">
        <f t="shared" si="221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IFERROR(__xludf.DUMMYFUNCTION("IMPORTRANGE(""https://docs.google.com/spreadsheets/d/1-uDff_7J0KD5mKrp0Vvzr7lt3OU09vwQwhkpOPPYv2Y/edit?usp=sharing"",""งบพรบ!ES80"")"),99000)</f>
        <v>99000</v>
      </c>
      <c r="M339" s="46">
        <f ca="1">IFERROR(__xludf.DUMMYFUNCTION("IMPORTRANGE(""https://docs.google.com/spreadsheets/d/1-uDff_7J0KD5mKrp0Vvzr7lt3OU09vwQwhkpOPPYv2Y/edit?usp=sharing"",""งบพรบ!EX80"")"),104000)</f>
        <v>104000</v>
      </c>
      <c r="N339" s="46">
        <f ca="1">IFERROR(__xludf.DUMMYFUNCTION("IMPORTRANGE(""https://docs.google.com/spreadsheets/d/1-uDff_7J0KD5mKrp0Vvzr7lt3OU09vwQwhkpOPPYv2Y/edit?usp=sharing"",""งบพรบ!EZ80"")"),69070)</f>
        <v>69070</v>
      </c>
      <c r="O339" s="46">
        <f t="shared" ca="1" si="217"/>
        <v>69.767676767676761</v>
      </c>
      <c r="P339" s="46">
        <f t="shared" ca="1" si="218"/>
        <v>66.413461538461533</v>
      </c>
      <c r="Q339" s="46">
        <v>0</v>
      </c>
      <c r="R339" s="46">
        <v>0</v>
      </c>
      <c r="S339" s="46">
        <v>0</v>
      </c>
      <c r="T339" s="46">
        <f t="shared" si="220"/>
        <v>0</v>
      </c>
      <c r="U339" s="46">
        <f t="shared" si="221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6">L341+L342</f>
        <v>0</v>
      </c>
      <c r="M340" s="46">
        <f t="shared" ca="1" si="226"/>
        <v>0</v>
      </c>
      <c r="N340" s="46">
        <f t="shared" ca="1" si="226"/>
        <v>0</v>
      </c>
      <c r="O340" s="46">
        <f t="shared" ca="1" si="217"/>
        <v>0</v>
      </c>
      <c r="P340" s="46">
        <f t="shared" ca="1" si="218"/>
        <v>0</v>
      </c>
      <c r="Q340" s="46">
        <f t="shared" ref="Q340:S340" si="227">Q341+Q342</f>
        <v>0</v>
      </c>
      <c r="R340" s="46">
        <f t="shared" si="227"/>
        <v>0</v>
      </c>
      <c r="S340" s="46">
        <f t="shared" si="227"/>
        <v>0</v>
      </c>
      <c r="T340" s="46">
        <f t="shared" si="220"/>
        <v>0</v>
      </c>
      <c r="U340" s="46">
        <f t="shared" si="221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7"/>
        <v>0</v>
      </c>
      <c r="P341" s="48">
        <f t="shared" si="218"/>
        <v>0</v>
      </c>
      <c r="Q341" s="48">
        <v>0</v>
      </c>
      <c r="R341" s="48">
        <v>0</v>
      </c>
      <c r="S341" s="48">
        <v>0</v>
      </c>
      <c r="T341" s="48">
        <f t="shared" si="220"/>
        <v>0</v>
      </c>
      <c r="U341" s="48">
        <f t="shared" si="221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IFERROR(__xludf.DUMMYFUNCTION("IMPORTRANGE(""https://docs.google.com/spreadsheets/d/1-uDff_7J0KD5mKrp0Vvzr7lt3OU09vwQwhkpOPPYv2Y/edit?usp=sharing"",""งบพรบ!EV80"")"),0)</f>
        <v>0</v>
      </c>
      <c r="M342" s="46">
        <f ca="1">IFERROR(__xludf.DUMMYFUNCTION("IMPORTRANGE(""https://docs.google.com/spreadsheets/d/1-uDff_7J0KD5mKrp0Vvzr7lt3OU09vwQwhkpOPPYv2Y/edit?usp=sharing"",""งบพรบ!EY80"")"),0)</f>
        <v>0</v>
      </c>
      <c r="N342" s="46">
        <f ca="1">IFERROR(__xludf.DUMMYFUNCTION("IMPORTRANGE(""https://docs.google.com/spreadsheets/d/1-uDff_7J0KD5mKrp0Vvzr7lt3OU09vwQwhkpOPPYv2Y/edit?usp=sharing"",""งบพรบ!FA80"")"),0)</f>
        <v>0</v>
      </c>
      <c r="O342" s="46">
        <f t="shared" ca="1" si="217"/>
        <v>0</v>
      </c>
      <c r="P342" s="46">
        <f t="shared" ca="1" si="218"/>
        <v>0</v>
      </c>
      <c r="Q342" s="46">
        <v>0</v>
      </c>
      <c r="R342" s="46">
        <v>0</v>
      </c>
      <c r="S342" s="46">
        <v>0</v>
      </c>
      <c r="T342" s="46">
        <f t="shared" si="220"/>
        <v>0</v>
      </c>
      <c r="U342" s="46">
        <f t="shared" si="221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145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IFERROR(__xludf.DUMMYFUNCTION("IMPORTRANGE(""https://docs.google.com/spreadsheets/d/1eHaY18a8A9IcSdp1K8H6x8fbOy06t2VsZHhMHf-1x7Y/edit?usp=sharing"",""แผน!EK80"")"),200)</f>
        <v>200</v>
      </c>
      <c r="J345" s="152">
        <f ca="1">IFERROR(__xludf.DUMMYFUNCTION("IMPORTRANGE(""https://docs.google.com/spreadsheets/d/1awYsYK3VOup2i3Pq_Yjnu8DRu_mYwSBnCR2QPthd0rU/edit?usp=sharing"",""ศูนย์ยกเว้นโฉนด!D80"")"),145)</f>
        <v>145</v>
      </c>
      <c r="K345" s="46">
        <f ca="1">IF(I345&gt;0,J345*100/I345,0)</f>
        <v>72.5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IFERROR(__xludf.DUMMYFUNCTION("IMPORTRANGE(""https://docs.google.com/spreadsheets/d/1eHaY18a8A9IcSdp1K8H6x8fbOy06t2VsZHhMHf-1x7Y/edit?usp=sharing"",""แผน!EL80"")"),1)</f>
        <v>1</v>
      </c>
      <c r="J347" s="152">
        <f ca="1">IFERROR(__xludf.DUMMYFUNCTION("IMPORTRANGE(""https://docs.google.com/spreadsheets/d/1awYsYK3VOup2i3Pq_Yjnu8DRu_mYwSBnCR2QPthd0rU/edit?usp=sharing"",""ศูนย์รวม!E80"")"),2)</f>
        <v>2</v>
      </c>
      <c r="K347" s="46">
        <f ca="1">IF(I347&gt;0,J347*100/I347,0)</f>
        <v>200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IFERROR(__xludf.DUMMYFUNCTION("IMPORTRANGE(""https://docs.google.com/spreadsheets/d/1awYsYK3VOup2i3Pq_Yjnu8DRu_mYwSBnCR2QPthd0rU/edit?usp=sharing"",""ศูนย์ยกเว้นโฉนด!G80"")"),0)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629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IFERROR(__xludf.DUMMYFUNCTION("IMPORTRANGE(""https://docs.google.com/spreadsheets/d/1awYsYK3VOup2i3Pq_Yjnu8DRu_mYwSBnCR2QPthd0rU/edit?usp=sharing"",""โฉนดM3!G80"")"),37)</f>
        <v>37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IFERROR(__xludf.DUMMYFUNCTION("IMPORTRANGE(""https://docs.google.com/spreadsheets/d/1awYsYK3VOup2i3Pq_Yjnu8DRu_mYwSBnCR2QPthd0rU/edit?usp=sharing"",""โฉนดM3!H80"")"),592)</f>
        <v>592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8">L358+L359</f>
        <v>535170</v>
      </c>
      <c r="M357" s="132">
        <f t="shared" ca="1" si="228"/>
        <v>535170</v>
      </c>
      <c r="N357" s="132">
        <f t="shared" ca="1" si="228"/>
        <v>349921.22</v>
      </c>
      <c r="O357" s="132">
        <f t="shared" ref="O357:O365" ca="1" si="229">IF(L357&gt;0,N357*100/L357,0)</f>
        <v>65.385058953229816</v>
      </c>
      <c r="P357" s="132">
        <f t="shared" ref="P357:P365" ca="1" si="230">IF(M357&gt;0,N357*100/M357,0)</f>
        <v>65.385058953229816</v>
      </c>
      <c r="Q357" s="132">
        <f t="shared" ref="Q357:S357" si="231">Q358+Q359</f>
        <v>0</v>
      </c>
      <c r="R357" s="132">
        <f t="shared" si="231"/>
        <v>0</v>
      </c>
      <c r="S357" s="132">
        <f t="shared" si="231"/>
        <v>0</v>
      </c>
      <c r="T357" s="132">
        <f t="shared" ref="T357:T365" si="232">IF(Q357&gt;0,S357*100/Q357,0)</f>
        <v>0</v>
      </c>
      <c r="U357" s="132">
        <f t="shared" ref="U357:U365" si="233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4">L361+L364</f>
        <v>0</v>
      </c>
      <c r="M358" s="48">
        <f t="shared" si="234"/>
        <v>0</v>
      </c>
      <c r="N358" s="48">
        <f t="shared" si="234"/>
        <v>0</v>
      </c>
      <c r="O358" s="48">
        <f t="shared" si="229"/>
        <v>0</v>
      </c>
      <c r="P358" s="48">
        <f t="shared" si="230"/>
        <v>0</v>
      </c>
      <c r="Q358" s="48">
        <f t="shared" ref="Q358:S359" si="235">Q361+Q364</f>
        <v>0</v>
      </c>
      <c r="R358" s="48">
        <f t="shared" si="235"/>
        <v>0</v>
      </c>
      <c r="S358" s="48">
        <f t="shared" si="235"/>
        <v>0</v>
      </c>
      <c r="T358" s="48">
        <f t="shared" si="232"/>
        <v>0</v>
      </c>
      <c r="U358" s="48">
        <f t="shared" si="233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4"/>
        <v>535170</v>
      </c>
      <c r="M359" s="46">
        <f t="shared" ca="1" si="234"/>
        <v>535170</v>
      </c>
      <c r="N359" s="46">
        <f t="shared" ca="1" si="234"/>
        <v>349921.22</v>
      </c>
      <c r="O359" s="46">
        <f t="shared" ca="1" si="229"/>
        <v>65.385058953229816</v>
      </c>
      <c r="P359" s="46">
        <f t="shared" ca="1" si="230"/>
        <v>65.385058953229816</v>
      </c>
      <c r="Q359" s="46">
        <f t="shared" si="235"/>
        <v>0</v>
      </c>
      <c r="R359" s="46">
        <f t="shared" si="235"/>
        <v>0</v>
      </c>
      <c r="S359" s="46">
        <f t="shared" si="235"/>
        <v>0</v>
      </c>
      <c r="T359" s="46">
        <f t="shared" si="232"/>
        <v>0</v>
      </c>
      <c r="U359" s="46">
        <f t="shared" si="233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6">L361+L362</f>
        <v>535170</v>
      </c>
      <c r="M360" s="46">
        <f t="shared" ca="1" si="236"/>
        <v>535170</v>
      </c>
      <c r="N360" s="46">
        <f t="shared" ca="1" si="236"/>
        <v>349921.22</v>
      </c>
      <c r="O360" s="46">
        <f t="shared" ca="1" si="229"/>
        <v>65.385058953229816</v>
      </c>
      <c r="P360" s="46">
        <f t="shared" ca="1" si="230"/>
        <v>65.385058953229816</v>
      </c>
      <c r="Q360" s="46">
        <f t="shared" ref="Q360:S360" si="237">Q361+Q362</f>
        <v>0</v>
      </c>
      <c r="R360" s="46">
        <f t="shared" si="237"/>
        <v>0</v>
      </c>
      <c r="S360" s="46">
        <f t="shared" si="237"/>
        <v>0</v>
      </c>
      <c r="T360" s="46">
        <f t="shared" si="232"/>
        <v>0</v>
      </c>
      <c r="U360" s="46">
        <f t="shared" si="233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29"/>
        <v>0</v>
      </c>
      <c r="P361" s="48">
        <f t="shared" si="230"/>
        <v>0</v>
      </c>
      <c r="Q361" s="48">
        <v>0</v>
      </c>
      <c r="R361" s="48">
        <v>0</v>
      </c>
      <c r="S361" s="48">
        <v>0</v>
      </c>
      <c r="T361" s="48">
        <f t="shared" si="232"/>
        <v>0</v>
      </c>
      <c r="U361" s="48">
        <f t="shared" si="233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IFERROR(__xludf.DUMMYFUNCTION("IMPORTRANGE(""https://docs.google.com/spreadsheets/d/1-uDff_7J0KD5mKrp0Vvzr7lt3OU09vwQwhkpOPPYv2Y/edit?usp=sharing"",""งบพรบ!FC80"")"),535170)</f>
        <v>535170</v>
      </c>
      <c r="M362" s="46">
        <f ca="1">IFERROR(__xludf.DUMMYFUNCTION("IMPORTRANGE(""https://docs.google.com/spreadsheets/d/1-uDff_7J0KD5mKrp0Vvzr7lt3OU09vwQwhkpOPPYv2Y/edit?usp=sharing"",""งบพรบ!FH80"")"),535170)</f>
        <v>535170</v>
      </c>
      <c r="N362" s="46">
        <f ca="1">IFERROR(__xludf.DUMMYFUNCTION("IMPORTRANGE(""https://docs.google.com/spreadsheets/d/1-uDff_7J0KD5mKrp0Vvzr7lt3OU09vwQwhkpOPPYv2Y/edit?usp=sharing"",""งบพรบ!FJ80"")"),349921.22)</f>
        <v>349921.22</v>
      </c>
      <c r="O362" s="46">
        <f t="shared" ca="1" si="229"/>
        <v>65.385058953229816</v>
      </c>
      <c r="P362" s="46">
        <f t="shared" ca="1" si="230"/>
        <v>65.385058953229816</v>
      </c>
      <c r="Q362" s="46">
        <v>0</v>
      </c>
      <c r="R362" s="46">
        <v>0</v>
      </c>
      <c r="S362" s="46">
        <v>0</v>
      </c>
      <c r="T362" s="46">
        <f t="shared" si="232"/>
        <v>0</v>
      </c>
      <c r="U362" s="46">
        <f t="shared" si="233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8">L364+L365</f>
        <v>0</v>
      </c>
      <c r="M363" s="46">
        <f t="shared" ca="1" si="238"/>
        <v>0</v>
      </c>
      <c r="N363" s="46">
        <f t="shared" ca="1" si="238"/>
        <v>0</v>
      </c>
      <c r="O363" s="46">
        <f t="shared" ca="1" si="229"/>
        <v>0</v>
      </c>
      <c r="P363" s="46">
        <f t="shared" ca="1" si="230"/>
        <v>0</v>
      </c>
      <c r="Q363" s="46">
        <f t="shared" ref="Q363:S363" si="239">Q364+Q365</f>
        <v>0</v>
      </c>
      <c r="R363" s="46">
        <f t="shared" si="239"/>
        <v>0</v>
      </c>
      <c r="S363" s="46">
        <f t="shared" si="239"/>
        <v>0</v>
      </c>
      <c r="T363" s="46">
        <f t="shared" si="232"/>
        <v>0</v>
      </c>
      <c r="U363" s="46">
        <f t="shared" si="233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29"/>
        <v>0</v>
      </c>
      <c r="P364" s="48">
        <f t="shared" si="230"/>
        <v>0</v>
      </c>
      <c r="Q364" s="48">
        <v>0</v>
      </c>
      <c r="R364" s="48">
        <v>0</v>
      </c>
      <c r="S364" s="48">
        <v>0</v>
      </c>
      <c r="T364" s="48">
        <f t="shared" si="232"/>
        <v>0</v>
      </c>
      <c r="U364" s="48">
        <f t="shared" si="233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IFERROR(__xludf.DUMMYFUNCTION("IMPORTRANGE(""https://docs.google.com/spreadsheets/d/1-uDff_7J0KD5mKrp0Vvzr7lt3OU09vwQwhkpOPPYv2Y/edit?usp=sharing"",""งบพรบ!FF80"")"),0)</f>
        <v>0</v>
      </c>
      <c r="M365" s="46">
        <f ca="1">IFERROR(__xludf.DUMMYFUNCTION("IMPORTRANGE(""https://docs.google.com/spreadsheets/d/1-uDff_7J0KD5mKrp0Vvzr7lt3OU09vwQwhkpOPPYv2Y/edit?usp=sharing"",""งบพรบ!FI80"")"),0)</f>
        <v>0</v>
      </c>
      <c r="N365" s="46">
        <f ca="1">IFERROR(__xludf.DUMMYFUNCTION("IMPORTRANGE(""https://docs.google.com/spreadsheets/d/1-uDff_7J0KD5mKrp0Vvzr7lt3OU09vwQwhkpOPPYv2Y/edit?usp=sharing"",""งบพรบ!FK80"")"),0)</f>
        <v>0</v>
      </c>
      <c r="O365" s="46">
        <f t="shared" ca="1" si="229"/>
        <v>0</v>
      </c>
      <c r="P365" s="46">
        <f t="shared" ca="1" si="230"/>
        <v>0</v>
      </c>
      <c r="Q365" s="46">
        <v>0</v>
      </c>
      <c r="R365" s="46">
        <v>0</v>
      </c>
      <c r="S365" s="46">
        <v>0</v>
      </c>
      <c r="T365" s="46">
        <f t="shared" si="232"/>
        <v>0</v>
      </c>
      <c r="U365" s="46">
        <f t="shared" si="233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0">I372</f>
        <v>25</v>
      </c>
      <c r="J366" s="235">
        <f t="shared" ca="1" si="240"/>
        <v>26</v>
      </c>
      <c r="K366" s="236">
        <f ca="1">IF(I366&gt;0,J366*100/I366,0)</f>
        <v>104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IFERROR(__xludf.DUMMYFUNCTION("IMPORTRANGE(""https://docs.google.com/spreadsheets/d/1tdoBKaGub7dwA3U6UFTqxio9LNnvDCQjHKmttSEBsFQ/edit?usp=sharing"",""จัดที่ดิน!AB80"")"),39)</f>
        <v>39</v>
      </c>
      <c r="K368" s="46">
        <f t="shared" ref="K368:K373" si="241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IFERROR(__xludf.DUMMYFUNCTION("IMPORTRANGE(""https://docs.google.com/spreadsheets/d/1eHaY18a8A9IcSdp1K8H6x8fbOy06t2VsZHhMHf-1x7Y/edit?usp=sharing"",""แผน!EW80"")"),230)</f>
        <v>230</v>
      </c>
      <c r="J369" s="676">
        <f ca="1">IFERROR(__xludf.DUMMYFUNCTION("IMPORTRANGE(""https://docs.google.com/spreadsheets/d/1tdoBKaGub7dwA3U6UFTqxio9LNnvDCQjHKmttSEBsFQ/edit?usp=sharing"",""จัดที่ดิน!AC80"")"),156.25)</f>
        <v>156.25</v>
      </c>
      <c r="K369" s="46">
        <f t="shared" ca="1" si="241"/>
        <v>67.934782608695656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IFERROR(__xludf.DUMMYFUNCTION("IMPORTRANGE(""https://docs.google.com/spreadsheets/d/1eHaY18a8A9IcSdp1K8H6x8fbOy06t2VsZHhMHf-1x7Y/edit?usp=sharing"",""แผน!EX80"")"),32)</f>
        <v>32</v>
      </c>
      <c r="J370" s="152">
        <f ca="1">IFERROR(__xludf.DUMMYFUNCTION("IMPORTRANGE(""https://docs.google.com/spreadsheets/d/1tdoBKaGub7dwA3U6UFTqxio9LNnvDCQjHKmttSEBsFQ/edit?usp=sharing"",""จัดที่ดิน!AD80"")"),29)</f>
        <v>29</v>
      </c>
      <c r="K370" s="46">
        <f t="shared" ca="1" si="241"/>
        <v>90.625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IFERROR(__xludf.DUMMYFUNCTION("IMPORTRANGE(""https://docs.google.com/spreadsheets/d/1tdoBKaGub7dwA3U6UFTqxio9LNnvDCQjHKmttSEBsFQ/edit?usp=sharing"",""จัดที่ดิน!AE80"")"),121.7)</f>
        <v>121.7</v>
      </c>
      <c r="K371" s="46">
        <f t="shared" si="241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IFERROR(__xludf.DUMMYFUNCTION("IMPORTRANGE(""https://docs.google.com/spreadsheets/d/1eHaY18a8A9IcSdp1K8H6x8fbOy06t2VsZHhMHf-1x7Y/edit?usp=sharing"",""แผน!EY80"")"),25)</f>
        <v>25</v>
      </c>
      <c r="J372" s="152">
        <f ca="1">IFERROR(__xludf.DUMMYFUNCTION("IMPORTRANGE(""https://docs.google.com/spreadsheets/d/1tdoBKaGub7dwA3U6UFTqxio9LNnvDCQjHKmttSEBsFQ/edit?usp=sharing"",""จัดที่ดิน!AF80"")"),26)</f>
        <v>26</v>
      </c>
      <c r="K372" s="46">
        <f t="shared" ca="1" si="241"/>
        <v>104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IFERROR(__xludf.DUMMYFUNCTION("IMPORTRANGE(""https://docs.google.com/spreadsheets/d/1tdoBKaGub7dwA3U6UFTqxio9LNnvDCQjHKmttSEBsFQ/edit?usp=sharing"",""จัดที่ดิน!AG80"")"),117.4)</f>
        <v>117.4</v>
      </c>
      <c r="K373" s="46">
        <f t="shared" si="241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2">I387+I389</f>
        <v>300</v>
      </c>
      <c r="J375" s="684">
        <f t="shared" ca="1" si="242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3">L377+L378</f>
        <v>0</v>
      </c>
      <c r="M376" s="132">
        <f t="shared" si="243"/>
        <v>0</v>
      </c>
      <c r="N376" s="132">
        <f t="shared" si="243"/>
        <v>0</v>
      </c>
      <c r="O376" s="132">
        <f t="shared" ref="O376:O384" si="244">IF(L376&gt;0,N376*100/L376,0)</f>
        <v>0</v>
      </c>
      <c r="P376" s="132">
        <f t="shared" ref="P376:P384" si="245">IF(M376&gt;0,N376*100/M376,0)</f>
        <v>0</v>
      </c>
      <c r="Q376" s="132">
        <f t="shared" ref="Q376:S376" ca="1" si="246">Q377+Q378</f>
        <v>18750</v>
      </c>
      <c r="R376" s="132">
        <f t="shared" ca="1" si="246"/>
        <v>0</v>
      </c>
      <c r="S376" s="132">
        <f t="shared" ca="1" si="246"/>
        <v>0</v>
      </c>
      <c r="T376" s="132">
        <f t="shared" ref="T376:T384" ca="1" si="247">IF(Q376&gt;0,S376*100/Q376,0)</f>
        <v>0</v>
      </c>
      <c r="U376" s="132">
        <f t="shared" ref="U376:U384" ca="1" si="248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49">L380+L383</f>
        <v>0</v>
      </c>
      <c r="M377" s="48">
        <f t="shared" si="249"/>
        <v>0</v>
      </c>
      <c r="N377" s="48">
        <f t="shared" si="249"/>
        <v>0</v>
      </c>
      <c r="O377" s="48">
        <f t="shared" si="244"/>
        <v>0</v>
      </c>
      <c r="P377" s="48">
        <f t="shared" si="245"/>
        <v>0</v>
      </c>
      <c r="Q377" s="48">
        <f t="shared" ref="Q377:S378" si="250">Q380+Q383</f>
        <v>0</v>
      </c>
      <c r="R377" s="48">
        <f t="shared" si="250"/>
        <v>0</v>
      </c>
      <c r="S377" s="48">
        <f t="shared" si="250"/>
        <v>0</v>
      </c>
      <c r="T377" s="48">
        <f t="shared" si="247"/>
        <v>0</v>
      </c>
      <c r="U377" s="48">
        <f t="shared" si="248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49"/>
        <v>0</v>
      </c>
      <c r="M378" s="46">
        <f t="shared" si="249"/>
        <v>0</v>
      </c>
      <c r="N378" s="46">
        <f t="shared" si="249"/>
        <v>0</v>
      </c>
      <c r="O378" s="46">
        <f t="shared" si="244"/>
        <v>0</v>
      </c>
      <c r="P378" s="46">
        <f t="shared" si="245"/>
        <v>0</v>
      </c>
      <c r="Q378" s="46">
        <f t="shared" ca="1" si="250"/>
        <v>18750</v>
      </c>
      <c r="R378" s="46">
        <f t="shared" ca="1" si="250"/>
        <v>0</v>
      </c>
      <c r="S378" s="46">
        <f t="shared" ca="1" si="250"/>
        <v>0</v>
      </c>
      <c r="T378" s="46">
        <f t="shared" ca="1" si="247"/>
        <v>0</v>
      </c>
      <c r="U378" s="46">
        <f t="shared" ca="1" si="248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1">L380+L381</f>
        <v>0</v>
      </c>
      <c r="M379" s="46">
        <f t="shared" si="251"/>
        <v>0</v>
      </c>
      <c r="N379" s="46">
        <f t="shared" si="251"/>
        <v>0</v>
      </c>
      <c r="O379" s="46">
        <f t="shared" si="244"/>
        <v>0</v>
      </c>
      <c r="P379" s="46">
        <f t="shared" si="245"/>
        <v>0</v>
      </c>
      <c r="Q379" s="46">
        <f t="shared" ref="Q379:S379" ca="1" si="252">Q380+Q381</f>
        <v>18750</v>
      </c>
      <c r="R379" s="46">
        <f t="shared" ca="1" si="252"/>
        <v>0</v>
      </c>
      <c r="S379" s="46">
        <f t="shared" ca="1" si="252"/>
        <v>0</v>
      </c>
      <c r="T379" s="46">
        <f t="shared" ca="1" si="247"/>
        <v>0</v>
      </c>
      <c r="U379" s="46">
        <f t="shared" ca="1" si="248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4"/>
        <v>0</v>
      </c>
      <c r="P380" s="48">
        <f t="shared" si="245"/>
        <v>0</v>
      </c>
      <c r="Q380" s="48">
        <v>0</v>
      </c>
      <c r="R380" s="48">
        <v>0</v>
      </c>
      <c r="S380" s="48">
        <v>0</v>
      </c>
      <c r="T380" s="48">
        <f t="shared" si="247"/>
        <v>0</v>
      </c>
      <c r="U380" s="48">
        <f t="shared" si="248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4"/>
        <v>0</v>
      </c>
      <c r="P381" s="46">
        <f t="shared" si="245"/>
        <v>0</v>
      </c>
      <c r="Q381" s="46">
        <f ca="1">IFERROR(__xludf.DUMMYFUNCTION("IMPORTRANGE(""https://docs.google.com/spreadsheets/d/1ItG2mGa2ceCfYo0BwxsXqNm01IGEUdYcSSLTEv9YCik/edit?usp=sharing"",""เบิกจ่ายกองทุน!AY80"")"),18750)</f>
        <v>18750</v>
      </c>
      <c r="R381" s="46">
        <f ca="1">IFERROR(__xludf.DUMMYFUNCTION("IMPORTRANGE(""https://docs.google.com/spreadsheets/d/1ItG2mGa2ceCfYo0BwxsXqNm01IGEUdYcSSLTEv9YCik/edit?usp=sharing"",""เบิกจ่ายกองทุน!AZ80"")"),0)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IFERROR(__xludf.DUMMYFUNCTION("IMPORTRANGE(""https://docs.google.com/spreadsheets/d/1ItG2mGa2ceCfYo0BwxsXqNm01IGEUdYcSSLTEv9YCik/edit?usp=sharing"",""เบิกจ่ายกองทุน!BA80"")"),0)</f>
        <v>0</v>
      </c>
      <c r="T381" s="46">
        <f t="shared" ca="1" si="247"/>
        <v>0</v>
      </c>
      <c r="U381" s="46">
        <f t="shared" ca="1" si="248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3">L383+L384</f>
        <v>0</v>
      </c>
      <c r="M382" s="46">
        <f t="shared" si="253"/>
        <v>0</v>
      </c>
      <c r="N382" s="46">
        <f t="shared" si="253"/>
        <v>0</v>
      </c>
      <c r="O382" s="46">
        <f t="shared" si="244"/>
        <v>0</v>
      </c>
      <c r="P382" s="46">
        <f t="shared" si="245"/>
        <v>0</v>
      </c>
      <c r="Q382" s="46">
        <f t="shared" ref="Q382:S382" si="254">Q383+Q384</f>
        <v>0</v>
      </c>
      <c r="R382" s="46">
        <f t="shared" si="254"/>
        <v>0</v>
      </c>
      <c r="S382" s="46">
        <f t="shared" si="254"/>
        <v>0</v>
      </c>
      <c r="T382" s="46">
        <f t="shared" si="247"/>
        <v>0</v>
      </c>
      <c r="U382" s="46">
        <f t="shared" si="248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4"/>
        <v>0</v>
      </c>
      <c r="P383" s="48">
        <f t="shared" si="245"/>
        <v>0</v>
      </c>
      <c r="Q383" s="48">
        <v>0</v>
      </c>
      <c r="R383" s="48">
        <v>0</v>
      </c>
      <c r="S383" s="48">
        <v>0</v>
      </c>
      <c r="T383" s="48">
        <f t="shared" si="247"/>
        <v>0</v>
      </c>
      <c r="U383" s="48">
        <f t="shared" si="248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4"/>
        <v>0</v>
      </c>
      <c r="P384" s="46">
        <f t="shared" si="245"/>
        <v>0</v>
      </c>
      <c r="Q384" s="46">
        <v>0</v>
      </c>
      <c r="R384" s="46">
        <v>0</v>
      </c>
      <c r="S384" s="46">
        <v>0</v>
      </c>
      <c r="T384" s="46">
        <f t="shared" si="247"/>
        <v>0</v>
      </c>
      <c r="U384" s="46">
        <f t="shared" si="248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IFERROR(__xludf.DUMMYFUNCTION("IMPORTRANGE(""https://docs.google.com/spreadsheets/d/1w5rwWK1o49a35cNtocGL0gxDwhFSTZUQu90BiH9_zqM/edit?usp=sharing"",""RTK!H80"")"),0)</f>
        <v>0</v>
      </c>
      <c r="K386" s="46">
        <f t="shared" ref="K386:K389" si="255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IFERROR(__xludf.DUMMYFUNCTION("IMPORTRANGE(""https://docs.google.com/spreadsheets/d/1w5rwWK1o49a35cNtocGL0gxDwhFSTZUQu90BiH9_zqM/edit?usp=sharing"",""RTK!G80"")"),300)</f>
        <v>300</v>
      </c>
      <c r="J387" s="152">
        <f ca="1">IFERROR(__xludf.DUMMYFUNCTION("IMPORTRANGE(""https://docs.google.com/spreadsheets/d/1w5rwWK1o49a35cNtocGL0gxDwhFSTZUQu90BiH9_zqM/edit?usp=sharing"",""RTK!I80"")"),0)</f>
        <v>0</v>
      </c>
      <c r="K387" s="46">
        <f t="shared" ca="1" si="255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IFERROR(__xludf.DUMMYFUNCTION("IMPORTRANGE(""https://docs.google.com/spreadsheets/d/1w5rwWK1o49a35cNtocGL0gxDwhFSTZUQu90BiH9_zqM/edit?usp=sharing"",""RTK!L80"")"),0)</f>
        <v>0</v>
      </c>
      <c r="K388" s="630">
        <f t="shared" si="255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IFERROR(__xludf.DUMMYFUNCTION("IMPORTRANGE(""https://docs.google.com/spreadsheets/d/1w5rwWK1o49a35cNtocGL0gxDwhFSTZUQu90BiH9_zqM/edit?usp=sharing"",""RTK!K80"")"),0)</f>
        <v>0</v>
      </c>
      <c r="J389" s="691">
        <f ca="1">IFERROR(__xludf.DUMMYFUNCTION("IMPORTRANGE(""https://docs.google.com/spreadsheets/d/1w5rwWK1o49a35cNtocGL0gxDwhFSTZUQu90BiH9_zqM/edit?usp=sharing"",""RTK!M80"")"),0)</f>
        <v>0</v>
      </c>
      <c r="K389" s="630">
        <f t="shared" ca="1" si="255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6">I403</f>
        <v>0</v>
      </c>
      <c r="J392" s="331">
        <f t="shared" si="256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7">L394+L395</f>
        <v>0</v>
      </c>
      <c r="M393" s="132">
        <f t="shared" si="257"/>
        <v>0</v>
      </c>
      <c r="N393" s="132">
        <f t="shared" si="257"/>
        <v>0</v>
      </c>
      <c r="O393" s="132">
        <f t="shared" ref="O393:O401" si="258">IF(L393&gt;0,N393*100/L393,0)</f>
        <v>0</v>
      </c>
      <c r="P393" s="132">
        <f t="shared" ref="P393:P401" si="259">IF(M393&gt;0,N393*100/M393,0)</f>
        <v>0</v>
      </c>
      <c r="Q393" s="132">
        <f t="shared" ref="Q393:S393" si="260">Q394+Q395</f>
        <v>0</v>
      </c>
      <c r="R393" s="132">
        <f t="shared" si="260"/>
        <v>0</v>
      </c>
      <c r="S393" s="132">
        <f t="shared" si="260"/>
        <v>0</v>
      </c>
      <c r="T393" s="132">
        <f t="shared" ref="T393:T401" si="261">IF(Q393&gt;0,S393*100/Q393,0)</f>
        <v>0</v>
      </c>
      <c r="U393" s="132">
        <f t="shared" ref="U393:U401" si="262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3">L397+L400</f>
        <v>0</v>
      </c>
      <c r="M394" s="48">
        <f t="shared" si="263"/>
        <v>0</v>
      </c>
      <c r="N394" s="48">
        <f t="shared" si="263"/>
        <v>0</v>
      </c>
      <c r="O394" s="48">
        <f t="shared" si="258"/>
        <v>0</v>
      </c>
      <c r="P394" s="48">
        <f t="shared" si="259"/>
        <v>0</v>
      </c>
      <c r="Q394" s="48">
        <f t="shared" ref="Q394:S395" si="264">Q397+Q400</f>
        <v>0</v>
      </c>
      <c r="R394" s="48">
        <f t="shared" si="264"/>
        <v>0</v>
      </c>
      <c r="S394" s="48">
        <f t="shared" si="264"/>
        <v>0</v>
      </c>
      <c r="T394" s="48">
        <f t="shared" si="261"/>
        <v>0</v>
      </c>
      <c r="U394" s="48">
        <f t="shared" si="262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3"/>
        <v>0</v>
      </c>
      <c r="M395" s="46">
        <f t="shared" si="263"/>
        <v>0</v>
      </c>
      <c r="N395" s="46">
        <f t="shared" si="263"/>
        <v>0</v>
      </c>
      <c r="O395" s="46">
        <f t="shared" si="258"/>
        <v>0</v>
      </c>
      <c r="P395" s="46">
        <f t="shared" si="259"/>
        <v>0</v>
      </c>
      <c r="Q395" s="46">
        <f t="shared" si="264"/>
        <v>0</v>
      </c>
      <c r="R395" s="46">
        <f t="shared" si="264"/>
        <v>0</v>
      </c>
      <c r="S395" s="46">
        <f t="shared" si="264"/>
        <v>0</v>
      </c>
      <c r="T395" s="46">
        <f t="shared" si="261"/>
        <v>0</v>
      </c>
      <c r="U395" s="46">
        <f t="shared" si="262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5">L397+L398</f>
        <v>0</v>
      </c>
      <c r="M396" s="46">
        <f t="shared" si="265"/>
        <v>0</v>
      </c>
      <c r="N396" s="46">
        <f t="shared" si="265"/>
        <v>0</v>
      </c>
      <c r="O396" s="46">
        <f t="shared" si="258"/>
        <v>0</v>
      </c>
      <c r="P396" s="46">
        <f t="shared" si="259"/>
        <v>0</v>
      </c>
      <c r="Q396" s="46">
        <f t="shared" ref="Q396:S396" si="266">Q397+Q398</f>
        <v>0</v>
      </c>
      <c r="R396" s="46">
        <f t="shared" si="266"/>
        <v>0</v>
      </c>
      <c r="S396" s="46">
        <f t="shared" si="266"/>
        <v>0</v>
      </c>
      <c r="T396" s="46">
        <f t="shared" si="261"/>
        <v>0</v>
      </c>
      <c r="U396" s="46">
        <f t="shared" si="262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8"/>
        <v>0</v>
      </c>
      <c r="P397" s="48">
        <f t="shared" si="259"/>
        <v>0</v>
      </c>
      <c r="Q397" s="48">
        <v>0</v>
      </c>
      <c r="R397" s="48">
        <v>0</v>
      </c>
      <c r="S397" s="48">
        <v>0</v>
      </c>
      <c r="T397" s="48">
        <f t="shared" si="261"/>
        <v>0</v>
      </c>
      <c r="U397" s="48">
        <f t="shared" si="262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8"/>
        <v>0</v>
      </c>
      <c r="P398" s="46">
        <f t="shared" si="259"/>
        <v>0</v>
      </c>
      <c r="Q398" s="46">
        <v>0</v>
      </c>
      <c r="R398" s="46">
        <v>0</v>
      </c>
      <c r="S398" s="46">
        <v>0</v>
      </c>
      <c r="T398" s="46">
        <f t="shared" si="261"/>
        <v>0</v>
      </c>
      <c r="U398" s="46">
        <f t="shared" si="262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7">L400+L401</f>
        <v>0</v>
      </c>
      <c r="M399" s="46">
        <f t="shared" si="267"/>
        <v>0</v>
      </c>
      <c r="N399" s="46">
        <f t="shared" si="267"/>
        <v>0</v>
      </c>
      <c r="O399" s="46">
        <f t="shared" si="258"/>
        <v>0</v>
      </c>
      <c r="P399" s="46">
        <f t="shared" si="259"/>
        <v>0</v>
      </c>
      <c r="Q399" s="46">
        <f t="shared" ref="Q399:S399" si="268">Q400+Q401</f>
        <v>0</v>
      </c>
      <c r="R399" s="46">
        <f t="shared" si="268"/>
        <v>0</v>
      </c>
      <c r="S399" s="46">
        <f t="shared" si="268"/>
        <v>0</v>
      </c>
      <c r="T399" s="46">
        <f t="shared" si="261"/>
        <v>0</v>
      </c>
      <c r="U399" s="46">
        <f t="shared" si="262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8"/>
        <v>0</v>
      </c>
      <c r="P400" s="48">
        <f t="shared" si="259"/>
        <v>0</v>
      </c>
      <c r="Q400" s="48">
        <v>0</v>
      </c>
      <c r="R400" s="48">
        <v>0</v>
      </c>
      <c r="S400" s="48">
        <v>0</v>
      </c>
      <c r="T400" s="48">
        <f t="shared" si="261"/>
        <v>0</v>
      </c>
      <c r="U400" s="48">
        <f t="shared" si="262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8"/>
        <v>0</v>
      </c>
      <c r="P401" s="46">
        <f t="shared" si="259"/>
        <v>0</v>
      </c>
      <c r="Q401" s="46">
        <v>0</v>
      </c>
      <c r="R401" s="46">
        <v>0</v>
      </c>
      <c r="S401" s="46">
        <v>0</v>
      </c>
      <c r="T401" s="46">
        <f t="shared" si="261"/>
        <v>0</v>
      </c>
      <c r="U401" s="46">
        <f t="shared" si="262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69">I424</f>
        <v>0</v>
      </c>
      <c r="J413" s="321">
        <f t="shared" si="269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0">L415+L416</f>
        <v>0</v>
      </c>
      <c r="M414" s="132">
        <f t="shared" si="270"/>
        <v>0</v>
      </c>
      <c r="N414" s="132">
        <f t="shared" si="270"/>
        <v>0</v>
      </c>
      <c r="O414" s="132">
        <f t="shared" ref="O414:O422" si="271">IF(L414&gt;0,N414*100/L414,0)</f>
        <v>0</v>
      </c>
      <c r="P414" s="132">
        <f t="shared" ref="P414:P422" si="272">IF(M414&gt;0,N414*100/M414,0)</f>
        <v>0</v>
      </c>
      <c r="Q414" s="132">
        <f t="shared" ref="Q414:S414" ca="1" si="273">Q415+Q416</f>
        <v>0</v>
      </c>
      <c r="R414" s="132">
        <f t="shared" ca="1" si="273"/>
        <v>0</v>
      </c>
      <c r="S414" s="132">
        <f t="shared" ca="1" si="273"/>
        <v>0</v>
      </c>
      <c r="T414" s="132">
        <f t="shared" ref="T414:T422" ca="1" si="274">IF(Q414&gt;0,S414*100/Q414,0)</f>
        <v>0</v>
      </c>
      <c r="U414" s="132">
        <f t="shared" ref="U414:U422" ca="1" si="275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6">L418+L421</f>
        <v>0</v>
      </c>
      <c r="M415" s="48">
        <f t="shared" si="276"/>
        <v>0</v>
      </c>
      <c r="N415" s="48">
        <f t="shared" si="276"/>
        <v>0</v>
      </c>
      <c r="O415" s="48">
        <f t="shared" si="271"/>
        <v>0</v>
      </c>
      <c r="P415" s="48">
        <f t="shared" si="272"/>
        <v>0</v>
      </c>
      <c r="Q415" s="48">
        <f t="shared" ref="Q415:S416" si="277">Q418+Q421</f>
        <v>0</v>
      </c>
      <c r="R415" s="48">
        <f t="shared" si="277"/>
        <v>0</v>
      </c>
      <c r="S415" s="48">
        <f t="shared" si="277"/>
        <v>0</v>
      </c>
      <c r="T415" s="48">
        <f t="shared" si="274"/>
        <v>0</v>
      </c>
      <c r="U415" s="48">
        <f t="shared" si="275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6"/>
        <v>0</v>
      </c>
      <c r="M416" s="46">
        <f t="shared" si="276"/>
        <v>0</v>
      </c>
      <c r="N416" s="46">
        <f t="shared" si="276"/>
        <v>0</v>
      </c>
      <c r="O416" s="46">
        <f t="shared" si="271"/>
        <v>0</v>
      </c>
      <c r="P416" s="46">
        <f t="shared" si="272"/>
        <v>0</v>
      </c>
      <c r="Q416" s="46">
        <f t="shared" ca="1" si="277"/>
        <v>0</v>
      </c>
      <c r="R416" s="46">
        <f t="shared" ca="1" si="277"/>
        <v>0</v>
      </c>
      <c r="S416" s="46">
        <f t="shared" ca="1" si="277"/>
        <v>0</v>
      </c>
      <c r="T416" s="46">
        <f t="shared" ca="1" si="274"/>
        <v>0</v>
      </c>
      <c r="U416" s="46">
        <f t="shared" ca="1" si="275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8">L418+L419</f>
        <v>0</v>
      </c>
      <c r="M417" s="46">
        <f t="shared" si="278"/>
        <v>0</v>
      </c>
      <c r="N417" s="46">
        <f t="shared" si="278"/>
        <v>0</v>
      </c>
      <c r="O417" s="46">
        <f t="shared" si="271"/>
        <v>0</v>
      </c>
      <c r="P417" s="46">
        <f t="shared" si="272"/>
        <v>0</v>
      </c>
      <c r="Q417" s="46">
        <f t="shared" ref="Q417:S417" ca="1" si="279">Q418+Q419</f>
        <v>0</v>
      </c>
      <c r="R417" s="46">
        <f t="shared" ca="1" si="279"/>
        <v>0</v>
      </c>
      <c r="S417" s="46">
        <f t="shared" ca="1" si="279"/>
        <v>0</v>
      </c>
      <c r="T417" s="46">
        <f t="shared" ca="1" si="274"/>
        <v>0</v>
      </c>
      <c r="U417" s="46">
        <f t="shared" ca="1" si="275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1"/>
        <v>0</v>
      </c>
      <c r="P418" s="48">
        <f t="shared" si="272"/>
        <v>0</v>
      </c>
      <c r="Q418" s="48">
        <v>0</v>
      </c>
      <c r="R418" s="48">
        <v>0</v>
      </c>
      <c r="S418" s="48">
        <v>0</v>
      </c>
      <c r="T418" s="48">
        <f t="shared" si="274"/>
        <v>0</v>
      </c>
      <c r="U418" s="48">
        <f t="shared" si="275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1"/>
        <v>0</v>
      </c>
      <c r="P419" s="46">
        <f t="shared" si="272"/>
        <v>0</v>
      </c>
      <c r="Q419" s="46">
        <f ca="1">IFERROR(__xludf.DUMMYFUNCTION("IMPORTRANGE(""https://docs.google.com/spreadsheets/d/1ItG2mGa2ceCfYo0BwxsXqNm01IGEUdYcSSLTEv9YCik/edit?usp=sharing"",""เบิกจ่ายกองทุน!BH80"")"),0)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IFERROR(__xludf.DUMMYFUNCTION("IMPORTRANGE(""https://docs.google.com/spreadsheets/d/1ItG2mGa2ceCfYo0BwxsXqNm01IGEUdYcSSLTEv9YCik/edit?usp=sharing"",""เบิกจ่ายกองทุน!BI80"")"),0)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IFERROR(__xludf.DUMMYFUNCTION("IMPORTRANGE(""https://docs.google.com/spreadsheets/d/1ItG2mGa2ceCfYo0BwxsXqNm01IGEUdYcSSLTEv9YCik/edit?usp=sharing"",""เบิกจ่ายกองทุน!BJ80"")"),0)</f>
        <v>0</v>
      </c>
      <c r="T419" s="46">
        <f t="shared" ca="1" si="274"/>
        <v>0</v>
      </c>
      <c r="U419" s="46">
        <f t="shared" ca="1" si="275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0">L421+L422</f>
        <v>0</v>
      </c>
      <c r="M420" s="46">
        <f t="shared" si="280"/>
        <v>0</v>
      </c>
      <c r="N420" s="46">
        <f t="shared" si="280"/>
        <v>0</v>
      </c>
      <c r="O420" s="46">
        <f t="shared" si="271"/>
        <v>0</v>
      </c>
      <c r="P420" s="46">
        <f t="shared" si="272"/>
        <v>0</v>
      </c>
      <c r="Q420" s="46">
        <f t="shared" ref="Q420:S420" si="281">Q421+Q422</f>
        <v>0</v>
      </c>
      <c r="R420" s="46">
        <f t="shared" si="281"/>
        <v>0</v>
      </c>
      <c r="S420" s="46">
        <f t="shared" si="281"/>
        <v>0</v>
      </c>
      <c r="T420" s="46">
        <f t="shared" si="274"/>
        <v>0</v>
      </c>
      <c r="U420" s="46">
        <f t="shared" si="275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1"/>
        <v>0</v>
      </c>
      <c r="P421" s="48">
        <f t="shared" si="272"/>
        <v>0</v>
      </c>
      <c r="Q421" s="48">
        <v>0</v>
      </c>
      <c r="R421" s="48">
        <v>0</v>
      </c>
      <c r="S421" s="48">
        <v>0</v>
      </c>
      <c r="T421" s="48">
        <f t="shared" si="274"/>
        <v>0</v>
      </c>
      <c r="U421" s="48">
        <f t="shared" si="275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1"/>
        <v>0</v>
      </c>
      <c r="P422" s="46">
        <f t="shared" si="272"/>
        <v>0</v>
      </c>
      <c r="Q422" s="46">
        <v>0</v>
      </c>
      <c r="R422" s="46">
        <v>0</v>
      </c>
      <c r="S422" s="46">
        <v>0</v>
      </c>
      <c r="T422" s="46">
        <f t="shared" si="274"/>
        <v>0</v>
      </c>
      <c r="U422" s="46">
        <f t="shared" si="275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2">I441</f>
        <v>0</v>
      </c>
      <c r="J424" s="147">
        <f t="shared" si="282"/>
        <v>0</v>
      </c>
      <c r="K424" s="132">
        <f t="shared" ref="K424:K426" ca="1" si="283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IFERROR(__xludf.DUMMYFUNCTION("IMPORTRANGE(""https://docs.google.com/spreadsheets/d/1eHaY18a8A9IcSdp1K8H6x8fbOy06t2VsZHhMHf-1x7Y/edit?usp=sharing"",""แผน!HJ80"")"),0)</f>
        <v>0</v>
      </c>
      <c r="J425" s="147">
        <f t="shared" ref="J425:J426" si="284">J427+J429+J431</f>
        <v>0</v>
      </c>
      <c r="K425" s="132">
        <f t="shared" ca="1" si="283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IFERROR(__xludf.DUMMYFUNCTION("IMPORTRANGE(""https://docs.google.com/spreadsheets/d/1eHaY18a8A9IcSdp1K8H6x8fbOy06t2VsZHhMHf-1x7Y/edit?usp=sharing"",""แผน!HK80"")"),0)</f>
        <v>0</v>
      </c>
      <c r="J426" s="147">
        <f t="shared" si="284"/>
        <v>0</v>
      </c>
      <c r="K426" s="132">
        <f t="shared" ca="1" si="283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IFERROR(__xludf.DUMMYFUNCTION("IMPORTRANGE(""https://docs.google.com/spreadsheets/d/1eHaY18a8A9IcSdp1K8H6x8fbOy06t2VsZHhMHf-1x7Y/edit?usp=sharing"",""แผน!HJ80"")"),0)</f>
        <v>0</v>
      </c>
      <c r="J433" s="147">
        <f t="shared" ref="J433:J434" si="285">J435+J437+J439</f>
        <v>0</v>
      </c>
      <c r="K433" s="132">
        <f t="shared" ref="K433:K434" ca="1" si="286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IFERROR(__xludf.DUMMYFUNCTION("IMPORTRANGE(""https://docs.google.com/spreadsheets/d/1eHaY18a8A9IcSdp1K8H6x8fbOy06t2VsZHhMHf-1x7Y/edit?usp=sharing"",""แผน!HK80"")"),0)</f>
        <v>0</v>
      </c>
      <c r="J434" s="147">
        <f t="shared" si="285"/>
        <v>0</v>
      </c>
      <c r="K434" s="132">
        <f t="shared" ca="1" si="286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IFERROR(__xludf.DUMMYFUNCTION("IMPORTRANGE(""https://docs.google.com/spreadsheets/d/1eHaY18a8A9IcSdp1K8H6x8fbOy06t2VsZHhMHf-1x7Y/edit?usp=sharing"",""แผน!HJ80"")"),0)</f>
        <v>0</v>
      </c>
      <c r="J441" s="147">
        <f t="shared" ref="J441:J442" si="287">J443+J445+J447+J453+J455</f>
        <v>0</v>
      </c>
      <c r="K441" s="132">
        <f t="shared" ref="K441:K442" ca="1" si="288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IFERROR(__xludf.DUMMYFUNCTION("IMPORTRANGE(""https://docs.google.com/spreadsheets/d/1eHaY18a8A9IcSdp1K8H6x8fbOy06t2VsZHhMHf-1x7Y/edit?usp=sharing"",""แผน!HK80"")"),0)</f>
        <v>0</v>
      </c>
      <c r="J442" s="147">
        <f t="shared" si="287"/>
        <v>0</v>
      </c>
      <c r="K442" s="132">
        <f t="shared" ca="1" si="288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89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89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0">I458</f>
        <v>0</v>
      </c>
      <c r="J457" s="147">
        <f t="shared" si="290"/>
        <v>0</v>
      </c>
      <c r="K457" s="132">
        <f t="shared" ref="K457:K459" ca="1" si="291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IFERROR(__xludf.DUMMYFUNCTION("IMPORTRANGE(""https://docs.google.com/spreadsheets/d/1eHaY18a8A9IcSdp1K8H6x8fbOy06t2VsZHhMHf-1x7Y/edit?usp=sharing"",""แผน!HL80"")"),0)</f>
        <v>0</v>
      </c>
      <c r="J458" s="147">
        <f t="shared" ref="J458:J459" si="292">J460+J468+J474</f>
        <v>0</v>
      </c>
      <c r="K458" s="132">
        <f t="shared" ca="1" si="291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IFERROR(__xludf.DUMMYFUNCTION("IMPORTRANGE(""https://docs.google.com/spreadsheets/d/1eHaY18a8A9IcSdp1K8H6x8fbOy06t2VsZHhMHf-1x7Y/edit?usp=sharing"",""แผน!HM80"")"),0)</f>
        <v>0</v>
      </c>
      <c r="J459" s="147">
        <f t="shared" si="292"/>
        <v>0</v>
      </c>
      <c r="K459" s="132">
        <f t="shared" ca="1" si="291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3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3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4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4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5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6">J479+J481</f>
        <v>0</v>
      </c>
      <c r="K477" s="132">
        <f t="shared" si="295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6"/>
        <v>0</v>
      </c>
      <c r="K478" s="132">
        <f t="shared" si="295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IFERROR(__xludf.DUMMYFUNCTION("IMPORTRANGE(""https://docs.google.com/spreadsheets/d/1eHaY18a8A9IcSdp1K8H6x8fbOy06t2VsZHhMHf-1x7Y/edit?usp=sharing"",""แผน!HN80"")"),0)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IFERROR(__xludf.DUMMYFUNCTION("IMPORTRANGE(""https://docs.google.com/spreadsheets/d/1eHaY18a8A9IcSdp1K8H6x8fbOy06t2VsZHhMHf-1x7Y/edit?usp=sharing"",""แผน!HO80"")"),0)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7">J481</f>
        <v>0</v>
      </c>
      <c r="J485" s="147">
        <f t="shared" ref="J485:J486" si="298">J487+J489+J491</f>
        <v>0</v>
      </c>
      <c r="K485" s="132">
        <f t="shared" ref="K485:K486" si="299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7"/>
        <v>0</v>
      </c>
      <c r="J486" s="147">
        <f t="shared" si="298"/>
        <v>0</v>
      </c>
      <c r="K486" s="132">
        <f t="shared" si="299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0">I504</f>
        <v>0</v>
      </c>
      <c r="J493" s="321">
        <f t="shared" ca="1" si="300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1">L495+L496</f>
        <v>0</v>
      </c>
      <c r="M494" s="132">
        <f t="shared" si="301"/>
        <v>0</v>
      </c>
      <c r="N494" s="132">
        <f t="shared" si="301"/>
        <v>0</v>
      </c>
      <c r="O494" s="132">
        <f t="shared" ref="O494:O502" si="302">IF(L494&gt;0,N494*100/L494,0)</f>
        <v>0</v>
      </c>
      <c r="P494" s="132">
        <f t="shared" ref="P494:P502" si="303">IF(M494&gt;0,N494*100/M494,0)</f>
        <v>0</v>
      </c>
      <c r="Q494" s="132">
        <f t="shared" ref="Q494:S494" ca="1" si="304">Q495+Q496</f>
        <v>0</v>
      </c>
      <c r="R494" s="132">
        <f t="shared" ca="1" si="304"/>
        <v>0</v>
      </c>
      <c r="S494" s="132">
        <f t="shared" ca="1" si="304"/>
        <v>0</v>
      </c>
      <c r="T494" s="132">
        <f t="shared" ref="T494:T502" ca="1" si="305">IF(Q494&gt;0,S494*100/Q494,0)</f>
        <v>0</v>
      </c>
      <c r="U494" s="132">
        <f t="shared" ref="U494:U502" ca="1" si="306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7">L498+L501</f>
        <v>0</v>
      </c>
      <c r="M495" s="48">
        <f t="shared" si="307"/>
        <v>0</v>
      </c>
      <c r="N495" s="48">
        <f t="shared" si="307"/>
        <v>0</v>
      </c>
      <c r="O495" s="48">
        <f t="shared" si="302"/>
        <v>0</v>
      </c>
      <c r="P495" s="48">
        <f t="shared" si="303"/>
        <v>0</v>
      </c>
      <c r="Q495" s="48">
        <f t="shared" ref="Q495:S496" si="308">Q498+Q501</f>
        <v>0</v>
      </c>
      <c r="R495" s="48">
        <f t="shared" si="308"/>
        <v>0</v>
      </c>
      <c r="S495" s="48">
        <f t="shared" si="308"/>
        <v>0</v>
      </c>
      <c r="T495" s="48">
        <f t="shared" si="305"/>
        <v>0</v>
      </c>
      <c r="U495" s="48">
        <f t="shared" si="306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7"/>
        <v>0</v>
      </c>
      <c r="M496" s="46">
        <f t="shared" si="307"/>
        <v>0</v>
      </c>
      <c r="N496" s="46">
        <f t="shared" si="307"/>
        <v>0</v>
      </c>
      <c r="O496" s="46">
        <f t="shared" si="302"/>
        <v>0</v>
      </c>
      <c r="P496" s="46">
        <f t="shared" si="303"/>
        <v>0</v>
      </c>
      <c r="Q496" s="46">
        <f t="shared" ca="1" si="308"/>
        <v>0</v>
      </c>
      <c r="R496" s="46">
        <f t="shared" ca="1" si="308"/>
        <v>0</v>
      </c>
      <c r="S496" s="46">
        <f t="shared" ca="1" si="308"/>
        <v>0</v>
      </c>
      <c r="T496" s="46">
        <f t="shared" ca="1" si="305"/>
        <v>0</v>
      </c>
      <c r="U496" s="46">
        <f t="shared" ca="1" si="306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09">L498+L499</f>
        <v>0</v>
      </c>
      <c r="M497" s="46">
        <f t="shared" si="309"/>
        <v>0</v>
      </c>
      <c r="N497" s="46">
        <f t="shared" si="309"/>
        <v>0</v>
      </c>
      <c r="O497" s="46">
        <f t="shared" si="302"/>
        <v>0</v>
      </c>
      <c r="P497" s="46">
        <f t="shared" si="303"/>
        <v>0</v>
      </c>
      <c r="Q497" s="46">
        <f t="shared" ref="Q497:S497" ca="1" si="310">Q498+Q499</f>
        <v>0</v>
      </c>
      <c r="R497" s="46">
        <f t="shared" ca="1" si="310"/>
        <v>0</v>
      </c>
      <c r="S497" s="46">
        <f t="shared" ca="1" si="310"/>
        <v>0</v>
      </c>
      <c r="T497" s="46">
        <f t="shared" ca="1" si="305"/>
        <v>0</v>
      </c>
      <c r="U497" s="46">
        <f t="shared" ca="1" si="306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2"/>
        <v>0</v>
      </c>
      <c r="P498" s="48">
        <f t="shared" si="303"/>
        <v>0</v>
      </c>
      <c r="Q498" s="48">
        <v>0</v>
      </c>
      <c r="R498" s="48">
        <v>0</v>
      </c>
      <c r="S498" s="48">
        <v>0</v>
      </c>
      <c r="T498" s="48">
        <f t="shared" si="305"/>
        <v>0</v>
      </c>
      <c r="U498" s="48">
        <f t="shared" si="306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2"/>
        <v>0</v>
      </c>
      <c r="P499" s="46">
        <f t="shared" si="303"/>
        <v>0</v>
      </c>
      <c r="Q499" s="46">
        <f ca="1">IFERROR(__xludf.DUMMYFUNCTION("IMPORTRANGE(""https://docs.google.com/spreadsheets/d/1ItG2mGa2ceCfYo0BwxsXqNm01IGEUdYcSSLTEv9YCik/edit?usp=sharing"",""เบิกจ่ายกองทุน!X80"")"),0)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IFERROR(__xludf.DUMMYFUNCTION("IMPORTRANGE(""https://docs.google.com/spreadsheets/d/1ItG2mGa2ceCfYo0BwxsXqNm01IGEUdYcSSLTEv9YCik/edit?usp=sharing"",""เบิกจ่ายกองทุน!Y80"")"),0)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IFERROR(__xludf.DUMMYFUNCTION("IMPORTRANGE(""https://docs.google.com/spreadsheets/d/1ItG2mGa2ceCfYo0BwxsXqNm01IGEUdYcSSLTEv9YCik/edit?usp=sharing"",""เบิกจ่ายกองทุน!Z80"")"),0)</f>
        <v>0</v>
      </c>
      <c r="T499" s="46">
        <f t="shared" ca="1" si="305"/>
        <v>0</v>
      </c>
      <c r="U499" s="46">
        <f t="shared" ca="1" si="306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1">L501+L502</f>
        <v>0</v>
      </c>
      <c r="M500" s="46">
        <f t="shared" si="311"/>
        <v>0</v>
      </c>
      <c r="N500" s="46">
        <f t="shared" si="311"/>
        <v>0</v>
      </c>
      <c r="O500" s="46">
        <f t="shared" si="302"/>
        <v>0</v>
      </c>
      <c r="P500" s="46">
        <f t="shared" si="303"/>
        <v>0</v>
      </c>
      <c r="Q500" s="46">
        <f t="shared" ref="Q500:S500" si="312">Q501+Q502</f>
        <v>0</v>
      </c>
      <c r="R500" s="46">
        <f t="shared" si="312"/>
        <v>0</v>
      </c>
      <c r="S500" s="46">
        <f t="shared" si="312"/>
        <v>0</v>
      </c>
      <c r="T500" s="46">
        <f t="shared" si="305"/>
        <v>0</v>
      </c>
      <c r="U500" s="46">
        <f t="shared" si="306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2"/>
        <v>0</v>
      </c>
      <c r="P501" s="48">
        <f t="shared" si="303"/>
        <v>0</v>
      </c>
      <c r="Q501" s="48">
        <v>0</v>
      </c>
      <c r="R501" s="48">
        <v>0</v>
      </c>
      <c r="S501" s="48">
        <v>0</v>
      </c>
      <c r="T501" s="48">
        <f t="shared" si="305"/>
        <v>0</v>
      </c>
      <c r="U501" s="48">
        <f t="shared" si="306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2"/>
        <v>0</v>
      </c>
      <c r="P502" s="46">
        <f t="shared" si="303"/>
        <v>0</v>
      </c>
      <c r="Q502" s="46">
        <v>0</v>
      </c>
      <c r="R502" s="46">
        <v>0</v>
      </c>
      <c r="S502" s="46">
        <v>0</v>
      </c>
      <c r="T502" s="46">
        <f t="shared" si="305"/>
        <v>0</v>
      </c>
      <c r="U502" s="46">
        <f t="shared" si="306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IFERROR(__xludf.DUMMYFUNCTION("IMPORTRANGE(""https://docs.google.com/spreadsheets/d/1eHaY18a8A9IcSdp1K8H6x8fbOy06t2VsZHhMHf-1x7Y/edit?usp=sharing"",""แผน!GX80"")"),0)</f>
        <v>0</v>
      </c>
      <c r="J504" s="147">
        <f ca="1">IF(AND(J505=I505,J506=I506,J507=I507,J508=I508),I504,0)</f>
        <v>0</v>
      </c>
      <c r="K504" s="132">
        <f t="shared" ref="K504:K510" ca="1" si="313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IFERROR(__xludf.DUMMYFUNCTION("IMPORTRANGE(""https://docs.google.com/spreadsheets/d/1eHaY18a8A9IcSdp1K8H6x8fbOy06t2VsZHhMHf-1x7Y/edit?usp=sharing"",""แผน!GY80"")"),0)</f>
        <v>0</v>
      </c>
      <c r="J505" s="168">
        <v>0</v>
      </c>
      <c r="K505" s="46">
        <f t="shared" ca="1" si="313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IFERROR(__xludf.DUMMYFUNCTION("IMPORTRANGE(""https://docs.google.com/spreadsheets/d/1eHaY18a8A9IcSdp1K8H6x8fbOy06t2VsZHhMHf-1x7Y/edit?usp=sharing"",""แผน!GZ80"")"),0)</f>
        <v>0</v>
      </c>
      <c r="J506" s="168">
        <v>0</v>
      </c>
      <c r="K506" s="46">
        <f t="shared" ca="1" si="313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IFERROR(__xludf.DUMMYFUNCTION("IMPORTRANGE(""https://docs.google.com/spreadsheets/d/1eHaY18a8A9IcSdp1K8H6x8fbOy06t2VsZHhMHf-1x7Y/edit?usp=sharing"",""แผน!HA80"")"),0)</f>
        <v>0</v>
      </c>
      <c r="J507" s="168">
        <v>0</v>
      </c>
      <c r="K507" s="46">
        <f t="shared" ca="1" si="313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IFERROR(__xludf.DUMMYFUNCTION("IMPORTRANGE(""https://docs.google.com/spreadsheets/d/1eHaY18a8A9IcSdp1K8H6x8fbOy06t2VsZHhMHf-1x7Y/edit?usp=sharing"",""แผน!HB80"")"),0)</f>
        <v>0</v>
      </c>
      <c r="J508" s="168">
        <v>0</v>
      </c>
      <c r="K508" s="46">
        <f t="shared" ca="1" si="313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3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IFERROR(__xludf.DUMMYFUNCTION("IMPORTRANGE(""https://docs.google.com/spreadsheets/d/1eHaY18a8A9IcSdp1K8H6x8fbOy06t2VsZHhMHf-1x7Y/edit?usp=sharing"",""แผน!HC80"")"),0)</f>
        <v>0</v>
      </c>
      <c r="J510" s="360">
        <v>0</v>
      </c>
      <c r="K510" s="110">
        <f t="shared" ca="1" si="313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4">I525</f>
        <v>0</v>
      </c>
      <c r="J513" s="766">
        <f t="shared" si="314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5">L515+L516</f>
        <v>0</v>
      </c>
      <c r="M514" s="132">
        <f t="shared" ca="1" si="315"/>
        <v>0</v>
      </c>
      <c r="N514" s="132">
        <f t="shared" ca="1" si="315"/>
        <v>0</v>
      </c>
      <c r="O514" s="132">
        <f t="shared" ref="O514:O522" ca="1" si="316">IF(L514&gt;0,N514*100/L514,0)</f>
        <v>0</v>
      </c>
      <c r="P514" s="132">
        <f t="shared" ref="P514:P522" ca="1" si="317">IF(M514&gt;0,N514*100/M514,0)</f>
        <v>0</v>
      </c>
      <c r="Q514" s="132">
        <f t="shared" ref="Q514:S514" si="318">Q515+Q516</f>
        <v>0</v>
      </c>
      <c r="R514" s="132">
        <f t="shared" si="318"/>
        <v>0</v>
      </c>
      <c r="S514" s="132">
        <f t="shared" si="318"/>
        <v>0</v>
      </c>
      <c r="T514" s="132">
        <f t="shared" ref="T514:T522" si="319">IF(Q514&gt;0,S514*100/Q514,0)</f>
        <v>0</v>
      </c>
      <c r="U514" s="132">
        <f t="shared" ref="U514:U522" si="320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1">L518+L521</f>
        <v>0</v>
      </c>
      <c r="M515" s="48">
        <f t="shared" si="321"/>
        <v>0</v>
      </c>
      <c r="N515" s="48">
        <f t="shared" si="321"/>
        <v>0</v>
      </c>
      <c r="O515" s="48">
        <f t="shared" si="316"/>
        <v>0</v>
      </c>
      <c r="P515" s="48">
        <f t="shared" si="317"/>
        <v>0</v>
      </c>
      <c r="Q515" s="48">
        <f t="shared" ref="Q515:S516" si="322">Q518+Q521</f>
        <v>0</v>
      </c>
      <c r="R515" s="48">
        <f t="shared" si="322"/>
        <v>0</v>
      </c>
      <c r="S515" s="48">
        <f t="shared" si="322"/>
        <v>0</v>
      </c>
      <c r="T515" s="48">
        <f t="shared" si="319"/>
        <v>0</v>
      </c>
      <c r="U515" s="48">
        <f t="shared" si="320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1"/>
        <v>0</v>
      </c>
      <c r="M516" s="46">
        <f t="shared" ca="1" si="321"/>
        <v>0</v>
      </c>
      <c r="N516" s="46">
        <f t="shared" ca="1" si="321"/>
        <v>0</v>
      </c>
      <c r="O516" s="46">
        <f t="shared" ca="1" si="316"/>
        <v>0</v>
      </c>
      <c r="P516" s="46">
        <f t="shared" ca="1" si="317"/>
        <v>0</v>
      </c>
      <c r="Q516" s="46">
        <f t="shared" si="322"/>
        <v>0</v>
      </c>
      <c r="R516" s="46">
        <f t="shared" si="322"/>
        <v>0</v>
      </c>
      <c r="S516" s="46">
        <f t="shared" si="322"/>
        <v>0</v>
      </c>
      <c r="T516" s="46">
        <f t="shared" si="319"/>
        <v>0</v>
      </c>
      <c r="U516" s="46">
        <f t="shared" si="320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3">L518+L519</f>
        <v>0</v>
      </c>
      <c r="M517" s="46">
        <f t="shared" ca="1" si="323"/>
        <v>0</v>
      </c>
      <c r="N517" s="46">
        <f t="shared" ca="1" si="323"/>
        <v>0</v>
      </c>
      <c r="O517" s="46">
        <f t="shared" ca="1" si="316"/>
        <v>0</v>
      </c>
      <c r="P517" s="46">
        <f t="shared" ca="1" si="317"/>
        <v>0</v>
      </c>
      <c r="Q517" s="46">
        <f t="shared" ref="Q517:S517" si="324">Q518+Q519</f>
        <v>0</v>
      </c>
      <c r="R517" s="46">
        <f t="shared" si="324"/>
        <v>0</v>
      </c>
      <c r="S517" s="46">
        <f t="shared" si="324"/>
        <v>0</v>
      </c>
      <c r="T517" s="46">
        <f t="shared" si="319"/>
        <v>0</v>
      </c>
      <c r="U517" s="46">
        <f t="shared" si="320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6"/>
        <v>0</v>
      </c>
      <c r="P518" s="48">
        <f t="shared" si="317"/>
        <v>0</v>
      </c>
      <c r="Q518" s="48">
        <v>0</v>
      </c>
      <c r="R518" s="48">
        <v>0</v>
      </c>
      <c r="S518" s="48">
        <v>0</v>
      </c>
      <c r="T518" s="48">
        <f t="shared" si="319"/>
        <v>0</v>
      </c>
      <c r="U518" s="48">
        <f t="shared" si="320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IFERROR(__xludf.DUMMYFUNCTION("IMPORTRANGE(""https://docs.google.com/spreadsheets/d/1-uDff_7J0KD5mKrp0Vvzr7lt3OU09vwQwhkpOPPYv2Y/edit?usp=sharing"",""งบพรบ!FM80"")"),0)</f>
        <v>0</v>
      </c>
      <c r="M519" s="46">
        <f ca="1">IFERROR(__xludf.DUMMYFUNCTION("IMPORTRANGE(""https://docs.google.com/spreadsheets/d/1-uDff_7J0KD5mKrp0Vvzr7lt3OU09vwQwhkpOPPYv2Y/edit?usp=sharing"",""งบพรบ!FR80"")"),0)</f>
        <v>0</v>
      </c>
      <c r="N519" s="46">
        <f ca="1">IFERROR(__xludf.DUMMYFUNCTION("IMPORTRANGE(""https://docs.google.com/spreadsheets/d/1-uDff_7J0KD5mKrp0Vvzr7lt3OU09vwQwhkpOPPYv2Y/edit?usp=sharing"",""งบพรบ!FT80"")"),0)</f>
        <v>0</v>
      </c>
      <c r="O519" s="46">
        <f t="shared" ca="1" si="316"/>
        <v>0</v>
      </c>
      <c r="P519" s="46">
        <f t="shared" ca="1" si="317"/>
        <v>0</v>
      </c>
      <c r="Q519" s="46">
        <v>0</v>
      </c>
      <c r="R519" s="46">
        <v>0</v>
      </c>
      <c r="S519" s="46">
        <v>0</v>
      </c>
      <c r="T519" s="46">
        <f t="shared" si="319"/>
        <v>0</v>
      </c>
      <c r="U519" s="46">
        <f t="shared" si="320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5">L521+L522</f>
        <v>0</v>
      </c>
      <c r="M520" s="46">
        <f t="shared" ca="1" si="325"/>
        <v>0</v>
      </c>
      <c r="N520" s="46">
        <f t="shared" ca="1" si="325"/>
        <v>0</v>
      </c>
      <c r="O520" s="46">
        <f t="shared" ca="1" si="316"/>
        <v>0</v>
      </c>
      <c r="P520" s="46">
        <f t="shared" ca="1" si="317"/>
        <v>0</v>
      </c>
      <c r="Q520" s="46">
        <f t="shared" ref="Q520:S520" si="326">Q521+Q522</f>
        <v>0</v>
      </c>
      <c r="R520" s="46">
        <f t="shared" si="326"/>
        <v>0</v>
      </c>
      <c r="S520" s="46">
        <f t="shared" si="326"/>
        <v>0</v>
      </c>
      <c r="T520" s="46">
        <f t="shared" si="319"/>
        <v>0</v>
      </c>
      <c r="U520" s="46">
        <f t="shared" si="320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6"/>
        <v>0</v>
      </c>
      <c r="P521" s="48">
        <f t="shared" si="317"/>
        <v>0</v>
      </c>
      <c r="Q521" s="48">
        <v>0</v>
      </c>
      <c r="R521" s="48">
        <v>0</v>
      </c>
      <c r="S521" s="48">
        <v>0</v>
      </c>
      <c r="T521" s="48">
        <f t="shared" si="319"/>
        <v>0</v>
      </c>
      <c r="U521" s="48">
        <f t="shared" si="320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IFERROR(__xludf.DUMMYFUNCTION("IMPORTRANGE(""https://docs.google.com/spreadsheets/d/1-uDff_7J0KD5mKrp0Vvzr7lt3OU09vwQwhkpOPPYv2Y/edit?usp=sharing"",""งบพรบ!FP80"")"),0)</f>
        <v>0</v>
      </c>
      <c r="M522" s="46">
        <f ca="1">IFERROR(__xludf.DUMMYFUNCTION("IMPORTRANGE(""https://docs.google.com/spreadsheets/d/1-uDff_7J0KD5mKrp0Vvzr7lt3OU09vwQwhkpOPPYv2Y/edit?usp=sharing"",""งบพรบ!FS80"")"),0)</f>
        <v>0</v>
      </c>
      <c r="N522" s="46">
        <f ca="1">IFERROR(__xludf.DUMMYFUNCTION("IMPORTRANGE(""https://docs.google.com/spreadsheets/d/1-uDff_7J0KD5mKrp0Vvzr7lt3OU09vwQwhkpOPPYv2Y/edit?usp=sharing"",""งบพรบ!FU80"")"),0)</f>
        <v>0</v>
      </c>
      <c r="O522" s="46">
        <f t="shared" ca="1" si="316"/>
        <v>0</v>
      </c>
      <c r="P522" s="46">
        <f t="shared" ca="1" si="317"/>
        <v>0</v>
      </c>
      <c r="Q522" s="46">
        <v>0</v>
      </c>
      <c r="R522" s="46">
        <v>0</v>
      </c>
      <c r="S522" s="46">
        <v>0</v>
      </c>
      <c r="T522" s="46">
        <f t="shared" si="319"/>
        <v>0</v>
      </c>
      <c r="U522" s="46">
        <f t="shared" si="320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7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7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8">I546</f>
        <v>0</v>
      </c>
      <c r="J534" s="741">
        <f t="shared" si="328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29">L536+L537</f>
        <v>0</v>
      </c>
      <c r="M535" s="132">
        <f t="shared" si="329"/>
        <v>0</v>
      </c>
      <c r="N535" s="132">
        <f t="shared" si="329"/>
        <v>0</v>
      </c>
      <c r="O535" s="132">
        <f t="shared" ref="O535:O543" si="330">IF(L535&gt;0,N535*100/L535,0)</f>
        <v>0</v>
      </c>
      <c r="P535" s="132">
        <f t="shared" ref="P535:P543" si="331">IF(M535&gt;0,N535*100/M535,0)</f>
        <v>0</v>
      </c>
      <c r="Q535" s="132">
        <f t="shared" ref="Q535:S535" si="332">Q536+Q537</f>
        <v>0</v>
      </c>
      <c r="R535" s="132">
        <f t="shared" si="332"/>
        <v>0</v>
      </c>
      <c r="S535" s="132">
        <f t="shared" si="332"/>
        <v>0</v>
      </c>
      <c r="T535" s="132">
        <f t="shared" ref="T535:T543" si="333">IF(Q535&gt;0,S535*100/Q535,0)</f>
        <v>0</v>
      </c>
      <c r="U535" s="132">
        <f t="shared" ref="U535:U543" si="334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5">L539+L542</f>
        <v>0</v>
      </c>
      <c r="M536" s="48">
        <f t="shared" si="335"/>
        <v>0</v>
      </c>
      <c r="N536" s="48">
        <f t="shared" si="335"/>
        <v>0</v>
      </c>
      <c r="O536" s="48">
        <f t="shared" si="330"/>
        <v>0</v>
      </c>
      <c r="P536" s="48">
        <f t="shared" si="331"/>
        <v>0</v>
      </c>
      <c r="Q536" s="48">
        <f t="shared" ref="Q536:S537" si="336">Q539+Q542</f>
        <v>0</v>
      </c>
      <c r="R536" s="48">
        <f t="shared" si="336"/>
        <v>0</v>
      </c>
      <c r="S536" s="48">
        <f t="shared" si="336"/>
        <v>0</v>
      </c>
      <c r="T536" s="48">
        <f t="shared" si="333"/>
        <v>0</v>
      </c>
      <c r="U536" s="48">
        <f t="shared" si="334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5"/>
        <v>0</v>
      </c>
      <c r="M537" s="46">
        <f t="shared" si="335"/>
        <v>0</v>
      </c>
      <c r="N537" s="46">
        <f t="shared" si="335"/>
        <v>0</v>
      </c>
      <c r="O537" s="46">
        <f t="shared" si="330"/>
        <v>0</v>
      </c>
      <c r="P537" s="46">
        <f t="shared" si="331"/>
        <v>0</v>
      </c>
      <c r="Q537" s="46">
        <f t="shared" si="336"/>
        <v>0</v>
      </c>
      <c r="R537" s="46">
        <f t="shared" si="336"/>
        <v>0</v>
      </c>
      <c r="S537" s="46">
        <f t="shared" si="336"/>
        <v>0</v>
      </c>
      <c r="T537" s="46">
        <f t="shared" si="333"/>
        <v>0</v>
      </c>
      <c r="U537" s="46">
        <f t="shared" si="334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7">L539+L540</f>
        <v>0</v>
      </c>
      <c r="M538" s="46">
        <f t="shared" si="337"/>
        <v>0</v>
      </c>
      <c r="N538" s="46">
        <f t="shared" si="337"/>
        <v>0</v>
      </c>
      <c r="O538" s="46">
        <f t="shared" si="330"/>
        <v>0</v>
      </c>
      <c r="P538" s="46">
        <f t="shared" si="331"/>
        <v>0</v>
      </c>
      <c r="Q538" s="46">
        <f t="shared" ref="Q538:S538" si="338">Q539+Q540</f>
        <v>0</v>
      </c>
      <c r="R538" s="46">
        <f t="shared" si="338"/>
        <v>0</v>
      </c>
      <c r="S538" s="46">
        <f t="shared" si="338"/>
        <v>0</v>
      </c>
      <c r="T538" s="46">
        <f t="shared" si="333"/>
        <v>0</v>
      </c>
      <c r="U538" s="46">
        <f t="shared" si="334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0"/>
        <v>0</v>
      </c>
      <c r="P539" s="48">
        <f t="shared" si="331"/>
        <v>0</v>
      </c>
      <c r="Q539" s="48">
        <v>0</v>
      </c>
      <c r="R539" s="48">
        <v>0</v>
      </c>
      <c r="S539" s="48">
        <v>0</v>
      </c>
      <c r="T539" s="48">
        <f t="shared" si="333"/>
        <v>0</v>
      </c>
      <c r="U539" s="48">
        <f t="shared" si="334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0"/>
        <v>0</v>
      </c>
      <c r="P540" s="46">
        <f t="shared" si="331"/>
        <v>0</v>
      </c>
      <c r="Q540" s="46">
        <v>0</v>
      </c>
      <c r="R540" s="46">
        <v>0</v>
      </c>
      <c r="S540" s="46">
        <v>0</v>
      </c>
      <c r="T540" s="46">
        <f t="shared" si="333"/>
        <v>0</v>
      </c>
      <c r="U540" s="46">
        <f t="shared" si="334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39">L542+L543</f>
        <v>0</v>
      </c>
      <c r="M541" s="46">
        <f t="shared" si="339"/>
        <v>0</v>
      </c>
      <c r="N541" s="46">
        <f t="shared" si="339"/>
        <v>0</v>
      </c>
      <c r="O541" s="46">
        <f t="shared" si="330"/>
        <v>0</v>
      </c>
      <c r="P541" s="46">
        <f t="shared" si="331"/>
        <v>0</v>
      </c>
      <c r="Q541" s="46">
        <f t="shared" ref="Q541:S541" si="340">Q542+Q543</f>
        <v>0</v>
      </c>
      <c r="R541" s="46">
        <f t="shared" si="340"/>
        <v>0</v>
      </c>
      <c r="S541" s="46">
        <f t="shared" si="340"/>
        <v>0</v>
      </c>
      <c r="T541" s="46">
        <f t="shared" si="333"/>
        <v>0</v>
      </c>
      <c r="U541" s="46">
        <f t="shared" si="334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0"/>
        <v>0</v>
      </c>
      <c r="P542" s="48">
        <f t="shared" si="331"/>
        <v>0</v>
      </c>
      <c r="Q542" s="48">
        <v>0</v>
      </c>
      <c r="R542" s="48">
        <v>0</v>
      </c>
      <c r="S542" s="48">
        <v>0</v>
      </c>
      <c r="T542" s="48">
        <f t="shared" si="333"/>
        <v>0</v>
      </c>
      <c r="U542" s="48">
        <f t="shared" si="334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0"/>
        <v>0</v>
      </c>
      <c r="P543" s="46">
        <f t="shared" si="331"/>
        <v>0</v>
      </c>
      <c r="Q543" s="46">
        <v>0</v>
      </c>
      <c r="R543" s="46">
        <v>0</v>
      </c>
      <c r="S543" s="46">
        <v>0</v>
      </c>
      <c r="T543" s="46">
        <f t="shared" si="333"/>
        <v>0</v>
      </c>
      <c r="U543" s="46">
        <f t="shared" si="334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1">I567</f>
        <v>0</v>
      </c>
      <c r="J555" s="741">
        <f t="shared" si="341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2">L557+L558</f>
        <v>0</v>
      </c>
      <c r="M556" s="132">
        <f t="shared" si="342"/>
        <v>0</v>
      </c>
      <c r="N556" s="132">
        <f t="shared" si="342"/>
        <v>0</v>
      </c>
      <c r="O556" s="132">
        <f t="shared" ref="O556:O564" si="343">IF(L556&gt;0,N556*100/L556,0)</f>
        <v>0</v>
      </c>
      <c r="P556" s="132">
        <f t="shared" ref="P556:P564" si="344">IF(M556&gt;0,N556*100/M556,0)</f>
        <v>0</v>
      </c>
      <c r="Q556" s="132">
        <f t="shared" ref="Q556:S556" si="345">Q557+Q558</f>
        <v>0</v>
      </c>
      <c r="R556" s="132">
        <f t="shared" si="345"/>
        <v>0</v>
      </c>
      <c r="S556" s="132">
        <f t="shared" si="345"/>
        <v>0</v>
      </c>
      <c r="T556" s="132">
        <f t="shared" ref="T556:T564" si="346">IF(Q556&gt;0,S556*100/Q556,0)</f>
        <v>0</v>
      </c>
      <c r="U556" s="132">
        <f t="shared" ref="U556:U564" si="347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8">L560+L563</f>
        <v>0</v>
      </c>
      <c r="M557" s="48">
        <f t="shared" si="348"/>
        <v>0</v>
      </c>
      <c r="N557" s="48">
        <f t="shared" si="348"/>
        <v>0</v>
      </c>
      <c r="O557" s="48">
        <f t="shared" si="343"/>
        <v>0</v>
      </c>
      <c r="P557" s="48">
        <f t="shared" si="344"/>
        <v>0</v>
      </c>
      <c r="Q557" s="48">
        <f t="shared" ref="Q557:S558" si="349">Q560+Q563</f>
        <v>0</v>
      </c>
      <c r="R557" s="48">
        <f t="shared" si="349"/>
        <v>0</v>
      </c>
      <c r="S557" s="48">
        <f t="shared" si="349"/>
        <v>0</v>
      </c>
      <c r="T557" s="48">
        <f t="shared" si="346"/>
        <v>0</v>
      </c>
      <c r="U557" s="48">
        <f t="shared" si="347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8"/>
        <v>0</v>
      </c>
      <c r="M558" s="46">
        <f t="shared" si="348"/>
        <v>0</v>
      </c>
      <c r="N558" s="46">
        <f t="shared" si="348"/>
        <v>0</v>
      </c>
      <c r="O558" s="46">
        <f t="shared" si="343"/>
        <v>0</v>
      </c>
      <c r="P558" s="46">
        <f t="shared" si="344"/>
        <v>0</v>
      </c>
      <c r="Q558" s="46">
        <f t="shared" si="349"/>
        <v>0</v>
      </c>
      <c r="R558" s="46">
        <f t="shared" si="349"/>
        <v>0</v>
      </c>
      <c r="S558" s="46">
        <f t="shared" si="349"/>
        <v>0</v>
      </c>
      <c r="T558" s="46">
        <f t="shared" si="346"/>
        <v>0</v>
      </c>
      <c r="U558" s="46">
        <f t="shared" si="347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0">L560+L561</f>
        <v>0</v>
      </c>
      <c r="M559" s="46">
        <f t="shared" si="350"/>
        <v>0</v>
      </c>
      <c r="N559" s="46">
        <f t="shared" si="350"/>
        <v>0</v>
      </c>
      <c r="O559" s="46">
        <f t="shared" si="343"/>
        <v>0</v>
      </c>
      <c r="P559" s="46">
        <f t="shared" si="344"/>
        <v>0</v>
      </c>
      <c r="Q559" s="46">
        <f t="shared" ref="Q559:S559" si="351">Q560+Q561</f>
        <v>0</v>
      </c>
      <c r="R559" s="46">
        <f t="shared" si="351"/>
        <v>0</v>
      </c>
      <c r="S559" s="46">
        <f t="shared" si="351"/>
        <v>0</v>
      </c>
      <c r="T559" s="46">
        <f t="shared" si="346"/>
        <v>0</v>
      </c>
      <c r="U559" s="46">
        <f t="shared" si="347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3"/>
        <v>0</v>
      </c>
      <c r="P560" s="48">
        <f t="shared" si="344"/>
        <v>0</v>
      </c>
      <c r="Q560" s="48">
        <v>0</v>
      </c>
      <c r="R560" s="48">
        <v>0</v>
      </c>
      <c r="S560" s="48">
        <v>0</v>
      </c>
      <c r="T560" s="48">
        <f t="shared" si="346"/>
        <v>0</v>
      </c>
      <c r="U560" s="48">
        <f t="shared" si="347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3"/>
        <v>0</v>
      </c>
      <c r="P561" s="46">
        <f t="shared" si="344"/>
        <v>0</v>
      </c>
      <c r="Q561" s="46">
        <v>0</v>
      </c>
      <c r="R561" s="46">
        <v>0</v>
      </c>
      <c r="S561" s="46">
        <v>0</v>
      </c>
      <c r="T561" s="46">
        <f t="shared" si="346"/>
        <v>0</v>
      </c>
      <c r="U561" s="46">
        <f t="shared" si="347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2">L563+L564</f>
        <v>0</v>
      </c>
      <c r="M562" s="46">
        <f t="shared" si="352"/>
        <v>0</v>
      </c>
      <c r="N562" s="46">
        <f t="shared" si="352"/>
        <v>0</v>
      </c>
      <c r="O562" s="46">
        <f t="shared" si="343"/>
        <v>0</v>
      </c>
      <c r="P562" s="46">
        <f t="shared" si="344"/>
        <v>0</v>
      </c>
      <c r="Q562" s="46">
        <f t="shared" ref="Q562:S562" si="353">Q563+Q564</f>
        <v>0</v>
      </c>
      <c r="R562" s="46">
        <f t="shared" si="353"/>
        <v>0</v>
      </c>
      <c r="S562" s="46">
        <f t="shared" si="353"/>
        <v>0</v>
      </c>
      <c r="T562" s="46">
        <f t="shared" si="346"/>
        <v>0</v>
      </c>
      <c r="U562" s="46">
        <f t="shared" si="347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3"/>
        <v>0</v>
      </c>
      <c r="P563" s="48">
        <f t="shared" si="344"/>
        <v>0</v>
      </c>
      <c r="Q563" s="48">
        <v>0</v>
      </c>
      <c r="R563" s="48">
        <v>0</v>
      </c>
      <c r="S563" s="48">
        <v>0</v>
      </c>
      <c r="T563" s="48">
        <f t="shared" si="346"/>
        <v>0</v>
      </c>
      <c r="U563" s="48">
        <f t="shared" si="347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3"/>
        <v>0</v>
      </c>
      <c r="P564" s="46">
        <f t="shared" si="344"/>
        <v>0</v>
      </c>
      <c r="Q564" s="46">
        <v>0</v>
      </c>
      <c r="R564" s="46">
        <v>0</v>
      </c>
      <c r="S564" s="46">
        <v>0</v>
      </c>
      <c r="T564" s="46">
        <f t="shared" si="346"/>
        <v>0</v>
      </c>
      <c r="U564" s="46">
        <f t="shared" si="347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4">I588</f>
        <v>0</v>
      </c>
      <c r="J576" s="741">
        <f t="shared" si="354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5">L578+L579</f>
        <v>0</v>
      </c>
      <c r="M577" s="132">
        <f t="shared" si="355"/>
        <v>0</v>
      </c>
      <c r="N577" s="132">
        <f t="shared" si="355"/>
        <v>0</v>
      </c>
      <c r="O577" s="132">
        <f t="shared" ref="O577:O585" si="356">IF(L577&gt;0,N577*100/L577,0)</f>
        <v>0</v>
      </c>
      <c r="P577" s="132">
        <f t="shared" ref="P577:P585" si="357">IF(M577&gt;0,N577*100/M577,0)</f>
        <v>0</v>
      </c>
      <c r="Q577" s="132">
        <f t="shared" ref="Q577:S577" si="358">Q578+Q579</f>
        <v>0</v>
      </c>
      <c r="R577" s="132">
        <f t="shared" si="358"/>
        <v>0</v>
      </c>
      <c r="S577" s="132">
        <f t="shared" si="358"/>
        <v>0</v>
      </c>
      <c r="T577" s="132">
        <f t="shared" ref="T577:T585" si="359">IF(Q577&gt;0,S577*100/Q577,0)</f>
        <v>0</v>
      </c>
      <c r="U577" s="132">
        <f t="shared" ref="U577:U585" si="360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1">L581+L584</f>
        <v>0</v>
      </c>
      <c r="M578" s="48">
        <f t="shared" si="361"/>
        <v>0</v>
      </c>
      <c r="N578" s="48">
        <f t="shared" si="361"/>
        <v>0</v>
      </c>
      <c r="O578" s="48">
        <f t="shared" si="356"/>
        <v>0</v>
      </c>
      <c r="P578" s="48">
        <f t="shared" si="357"/>
        <v>0</v>
      </c>
      <c r="Q578" s="48">
        <f t="shared" ref="Q578:S579" si="362">Q581+Q584</f>
        <v>0</v>
      </c>
      <c r="R578" s="48">
        <f t="shared" si="362"/>
        <v>0</v>
      </c>
      <c r="S578" s="48">
        <f t="shared" si="362"/>
        <v>0</v>
      </c>
      <c r="T578" s="48">
        <f t="shared" si="359"/>
        <v>0</v>
      </c>
      <c r="U578" s="48">
        <f t="shared" si="360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1"/>
        <v>0</v>
      </c>
      <c r="M579" s="46">
        <f t="shared" si="361"/>
        <v>0</v>
      </c>
      <c r="N579" s="46">
        <f t="shared" si="361"/>
        <v>0</v>
      </c>
      <c r="O579" s="46">
        <f t="shared" si="356"/>
        <v>0</v>
      </c>
      <c r="P579" s="46">
        <f t="shared" si="357"/>
        <v>0</v>
      </c>
      <c r="Q579" s="46">
        <f t="shared" si="362"/>
        <v>0</v>
      </c>
      <c r="R579" s="46">
        <f t="shared" si="362"/>
        <v>0</v>
      </c>
      <c r="S579" s="46">
        <f t="shared" si="362"/>
        <v>0</v>
      </c>
      <c r="T579" s="46">
        <f t="shared" si="359"/>
        <v>0</v>
      </c>
      <c r="U579" s="46">
        <f t="shared" si="360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3">L581+L582</f>
        <v>0</v>
      </c>
      <c r="M580" s="46">
        <f t="shared" si="363"/>
        <v>0</v>
      </c>
      <c r="N580" s="46">
        <f t="shared" si="363"/>
        <v>0</v>
      </c>
      <c r="O580" s="46">
        <f t="shared" si="356"/>
        <v>0</v>
      </c>
      <c r="P580" s="46">
        <f t="shared" si="357"/>
        <v>0</v>
      </c>
      <c r="Q580" s="46">
        <f t="shared" ref="Q580:S580" si="364">Q581+Q582</f>
        <v>0</v>
      </c>
      <c r="R580" s="46">
        <f t="shared" si="364"/>
        <v>0</v>
      </c>
      <c r="S580" s="46">
        <f t="shared" si="364"/>
        <v>0</v>
      </c>
      <c r="T580" s="46">
        <f t="shared" si="359"/>
        <v>0</v>
      </c>
      <c r="U580" s="46">
        <f t="shared" si="360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6"/>
        <v>0</v>
      </c>
      <c r="P581" s="48">
        <f t="shared" si="357"/>
        <v>0</v>
      </c>
      <c r="Q581" s="48">
        <v>0</v>
      </c>
      <c r="R581" s="48">
        <v>0</v>
      </c>
      <c r="S581" s="48">
        <v>0</v>
      </c>
      <c r="T581" s="48">
        <f t="shared" si="359"/>
        <v>0</v>
      </c>
      <c r="U581" s="48">
        <f t="shared" si="360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6"/>
        <v>0</v>
      </c>
      <c r="P582" s="46">
        <f t="shared" si="357"/>
        <v>0</v>
      </c>
      <c r="Q582" s="46">
        <v>0</v>
      </c>
      <c r="R582" s="46">
        <v>0</v>
      </c>
      <c r="S582" s="46">
        <v>0</v>
      </c>
      <c r="T582" s="46">
        <f t="shared" si="359"/>
        <v>0</v>
      </c>
      <c r="U582" s="46">
        <f t="shared" si="360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5">L584+L585</f>
        <v>0</v>
      </c>
      <c r="M583" s="46">
        <f t="shared" si="365"/>
        <v>0</v>
      </c>
      <c r="N583" s="46">
        <f t="shared" si="365"/>
        <v>0</v>
      </c>
      <c r="O583" s="46">
        <f t="shared" si="356"/>
        <v>0</v>
      </c>
      <c r="P583" s="46">
        <f t="shared" si="357"/>
        <v>0</v>
      </c>
      <c r="Q583" s="46">
        <f t="shared" ref="Q583:S583" si="366">Q584+Q585</f>
        <v>0</v>
      </c>
      <c r="R583" s="46">
        <f t="shared" si="366"/>
        <v>0</v>
      </c>
      <c r="S583" s="46">
        <f t="shared" si="366"/>
        <v>0</v>
      </c>
      <c r="T583" s="46">
        <f t="shared" si="359"/>
        <v>0</v>
      </c>
      <c r="U583" s="46">
        <f t="shared" si="360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6"/>
        <v>0</v>
      </c>
      <c r="P584" s="48">
        <f t="shared" si="357"/>
        <v>0</v>
      </c>
      <c r="Q584" s="48">
        <v>0</v>
      </c>
      <c r="R584" s="48">
        <v>0</v>
      </c>
      <c r="S584" s="48">
        <v>0</v>
      </c>
      <c r="T584" s="48">
        <f t="shared" si="359"/>
        <v>0</v>
      </c>
      <c r="U584" s="48">
        <f t="shared" si="360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6"/>
        <v>0</v>
      </c>
      <c r="P585" s="46">
        <f t="shared" si="357"/>
        <v>0</v>
      </c>
      <c r="Q585" s="46">
        <v>0</v>
      </c>
      <c r="R585" s="46">
        <v>0</v>
      </c>
      <c r="S585" s="46">
        <v>0</v>
      </c>
      <c r="T585" s="46">
        <f t="shared" si="359"/>
        <v>0</v>
      </c>
      <c r="U585" s="46">
        <f t="shared" si="360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7">L601+L602</f>
        <v>0</v>
      </c>
      <c r="M600" s="132">
        <f t="shared" si="367"/>
        <v>0</v>
      </c>
      <c r="N600" s="132">
        <f t="shared" si="367"/>
        <v>0</v>
      </c>
      <c r="O600" s="132">
        <f t="shared" ref="O600:O608" si="368">IF(L600&gt;0,N600*100/L600,0)</f>
        <v>0</v>
      </c>
      <c r="P600" s="132">
        <f t="shared" ref="P600:P608" si="369">IF(M600&gt;0,N600*100/M600,0)</f>
        <v>0</v>
      </c>
      <c r="Q600" s="132">
        <f t="shared" ref="Q600:S600" si="370">Q601+Q602</f>
        <v>0</v>
      </c>
      <c r="R600" s="132">
        <f t="shared" si="370"/>
        <v>0</v>
      </c>
      <c r="S600" s="132">
        <f t="shared" si="370"/>
        <v>0</v>
      </c>
      <c r="T600" s="132">
        <f t="shared" ref="T600:T608" si="371">IF(Q600&gt;0,S600*100/Q600,0)</f>
        <v>0</v>
      </c>
      <c r="U600" s="132">
        <f t="shared" ref="U600:U608" si="372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3">L604+L607</f>
        <v>0</v>
      </c>
      <c r="M601" s="48">
        <f t="shared" si="373"/>
        <v>0</v>
      </c>
      <c r="N601" s="48">
        <f t="shared" si="373"/>
        <v>0</v>
      </c>
      <c r="O601" s="48">
        <f t="shared" si="368"/>
        <v>0</v>
      </c>
      <c r="P601" s="48">
        <f t="shared" si="369"/>
        <v>0</v>
      </c>
      <c r="Q601" s="48">
        <f t="shared" ref="Q601:S602" si="374">Q604+Q607</f>
        <v>0</v>
      </c>
      <c r="R601" s="48">
        <f t="shared" si="374"/>
        <v>0</v>
      </c>
      <c r="S601" s="48">
        <f t="shared" si="374"/>
        <v>0</v>
      </c>
      <c r="T601" s="48">
        <f t="shared" si="371"/>
        <v>0</v>
      </c>
      <c r="U601" s="48">
        <f t="shared" si="372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3"/>
        <v>0</v>
      </c>
      <c r="M602" s="46">
        <f t="shared" si="373"/>
        <v>0</v>
      </c>
      <c r="N602" s="46">
        <f t="shared" si="373"/>
        <v>0</v>
      </c>
      <c r="O602" s="46">
        <f t="shared" si="368"/>
        <v>0</v>
      </c>
      <c r="P602" s="46">
        <f t="shared" si="369"/>
        <v>0</v>
      </c>
      <c r="Q602" s="46">
        <f t="shared" si="374"/>
        <v>0</v>
      </c>
      <c r="R602" s="46">
        <f t="shared" si="374"/>
        <v>0</v>
      </c>
      <c r="S602" s="46">
        <f t="shared" si="374"/>
        <v>0</v>
      </c>
      <c r="T602" s="46">
        <f t="shared" si="371"/>
        <v>0</v>
      </c>
      <c r="U602" s="46">
        <f t="shared" si="372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5">L604+L605</f>
        <v>0</v>
      </c>
      <c r="M603" s="46">
        <f t="shared" si="375"/>
        <v>0</v>
      </c>
      <c r="N603" s="46">
        <f t="shared" si="375"/>
        <v>0</v>
      </c>
      <c r="O603" s="46">
        <f t="shared" si="368"/>
        <v>0</v>
      </c>
      <c r="P603" s="46">
        <f t="shared" si="369"/>
        <v>0</v>
      </c>
      <c r="Q603" s="46">
        <f t="shared" ref="Q603:S603" si="376">Q604+Q605</f>
        <v>0</v>
      </c>
      <c r="R603" s="46">
        <f t="shared" si="376"/>
        <v>0</v>
      </c>
      <c r="S603" s="46">
        <f t="shared" si="376"/>
        <v>0</v>
      </c>
      <c r="T603" s="46">
        <f t="shared" si="371"/>
        <v>0</v>
      </c>
      <c r="U603" s="46">
        <f t="shared" si="372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8"/>
        <v>0</v>
      </c>
      <c r="P604" s="48">
        <f t="shared" si="369"/>
        <v>0</v>
      </c>
      <c r="Q604" s="48">
        <v>0</v>
      </c>
      <c r="R604" s="48">
        <v>0</v>
      </c>
      <c r="S604" s="48">
        <v>0</v>
      </c>
      <c r="T604" s="48">
        <f t="shared" si="371"/>
        <v>0</v>
      </c>
      <c r="U604" s="48">
        <f t="shared" si="372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8"/>
        <v>0</v>
      </c>
      <c r="P605" s="46">
        <f t="shared" si="369"/>
        <v>0</v>
      </c>
      <c r="Q605" s="46">
        <v>0</v>
      </c>
      <c r="R605" s="46">
        <v>0</v>
      </c>
      <c r="S605" s="46">
        <v>0</v>
      </c>
      <c r="T605" s="46">
        <f t="shared" si="371"/>
        <v>0</v>
      </c>
      <c r="U605" s="46">
        <f t="shared" si="372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7">L607+L608</f>
        <v>0</v>
      </c>
      <c r="M606" s="46">
        <f t="shared" si="377"/>
        <v>0</v>
      </c>
      <c r="N606" s="46">
        <f t="shared" si="377"/>
        <v>0</v>
      </c>
      <c r="O606" s="46">
        <f t="shared" si="368"/>
        <v>0</v>
      </c>
      <c r="P606" s="46">
        <f t="shared" si="369"/>
        <v>0</v>
      </c>
      <c r="Q606" s="46">
        <f t="shared" ref="Q606:S606" si="378">Q607+Q608</f>
        <v>0</v>
      </c>
      <c r="R606" s="46">
        <f t="shared" si="378"/>
        <v>0</v>
      </c>
      <c r="S606" s="46">
        <f t="shared" si="378"/>
        <v>0</v>
      </c>
      <c r="T606" s="46">
        <f t="shared" si="371"/>
        <v>0</v>
      </c>
      <c r="U606" s="46">
        <f t="shared" si="372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8"/>
        <v>0</v>
      </c>
      <c r="P607" s="48">
        <f t="shared" si="369"/>
        <v>0</v>
      </c>
      <c r="Q607" s="48">
        <v>0</v>
      </c>
      <c r="R607" s="48">
        <v>0</v>
      </c>
      <c r="S607" s="48">
        <v>0</v>
      </c>
      <c r="T607" s="48">
        <f t="shared" si="371"/>
        <v>0</v>
      </c>
      <c r="U607" s="48">
        <f t="shared" si="372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8"/>
        <v>0</v>
      </c>
      <c r="P608" s="46">
        <f t="shared" si="369"/>
        <v>0</v>
      </c>
      <c r="Q608" s="46">
        <v>0</v>
      </c>
      <c r="R608" s="46">
        <v>0</v>
      </c>
      <c r="S608" s="46">
        <v>0</v>
      </c>
      <c r="T608" s="46">
        <f t="shared" si="371"/>
        <v>0</v>
      </c>
      <c r="U608" s="46">
        <f t="shared" si="372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79">I627</f>
        <v>50</v>
      </c>
      <c r="J616" s="432">
        <f t="shared" si="379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0">L618+L619</f>
        <v>0</v>
      </c>
      <c r="M617" s="132">
        <f t="shared" si="380"/>
        <v>0</v>
      </c>
      <c r="N617" s="132">
        <f t="shared" si="380"/>
        <v>0</v>
      </c>
      <c r="O617" s="132">
        <f t="shared" ref="O617:O625" si="381">IF(L617&gt;0,N617*100/L617,0)</f>
        <v>0</v>
      </c>
      <c r="P617" s="132">
        <f t="shared" ref="P617:P625" si="382">IF(M617&gt;0,N617*100/M617,0)</f>
        <v>0</v>
      </c>
      <c r="Q617" s="132">
        <f t="shared" ref="Q617:S617" ca="1" si="383">Q618+Q619</f>
        <v>6800</v>
      </c>
      <c r="R617" s="132">
        <f t="shared" ca="1" si="383"/>
        <v>6800</v>
      </c>
      <c r="S617" s="132">
        <f t="shared" ca="1" si="383"/>
        <v>0</v>
      </c>
      <c r="T617" s="132">
        <f t="shared" ref="T617:T625" ca="1" si="384">IF(Q617&gt;0,S617*100/Q617,0)</f>
        <v>0</v>
      </c>
      <c r="U617" s="132">
        <f t="shared" ref="U617:U625" ca="1" si="385">IF(R617&gt;0,S617*100/R617,0)</f>
        <v>0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6">L621+L624</f>
        <v>0</v>
      </c>
      <c r="M618" s="48">
        <f t="shared" si="386"/>
        <v>0</v>
      </c>
      <c r="N618" s="48">
        <f t="shared" si="386"/>
        <v>0</v>
      </c>
      <c r="O618" s="48">
        <f t="shared" si="381"/>
        <v>0</v>
      </c>
      <c r="P618" s="48">
        <f t="shared" si="382"/>
        <v>0</v>
      </c>
      <c r="Q618" s="48">
        <f t="shared" ref="Q618:S619" si="387">Q621+Q624</f>
        <v>0</v>
      </c>
      <c r="R618" s="48">
        <f t="shared" si="387"/>
        <v>0</v>
      </c>
      <c r="S618" s="48">
        <f t="shared" si="387"/>
        <v>0</v>
      </c>
      <c r="T618" s="48">
        <f t="shared" si="384"/>
        <v>0</v>
      </c>
      <c r="U618" s="48">
        <f t="shared" si="385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6"/>
        <v>0</v>
      </c>
      <c r="M619" s="46">
        <f t="shared" si="386"/>
        <v>0</v>
      </c>
      <c r="N619" s="46">
        <f t="shared" si="386"/>
        <v>0</v>
      </c>
      <c r="O619" s="46">
        <f t="shared" si="381"/>
        <v>0</v>
      </c>
      <c r="P619" s="46">
        <f t="shared" si="382"/>
        <v>0</v>
      </c>
      <c r="Q619" s="46">
        <f t="shared" ca="1" si="387"/>
        <v>6800</v>
      </c>
      <c r="R619" s="46">
        <f t="shared" ca="1" si="387"/>
        <v>6800</v>
      </c>
      <c r="S619" s="46">
        <f t="shared" ca="1" si="387"/>
        <v>0</v>
      </c>
      <c r="T619" s="46">
        <f t="shared" ca="1" si="384"/>
        <v>0</v>
      </c>
      <c r="U619" s="46">
        <f t="shared" ca="1" si="385"/>
        <v>0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8">L621+L622</f>
        <v>0</v>
      </c>
      <c r="M620" s="46">
        <f t="shared" si="388"/>
        <v>0</v>
      </c>
      <c r="N620" s="46">
        <f t="shared" si="388"/>
        <v>0</v>
      </c>
      <c r="O620" s="46">
        <f t="shared" si="381"/>
        <v>0</v>
      </c>
      <c r="P620" s="46">
        <f t="shared" si="382"/>
        <v>0</v>
      </c>
      <c r="Q620" s="46">
        <f t="shared" ref="Q620:S620" ca="1" si="389">Q621+Q622</f>
        <v>6800</v>
      </c>
      <c r="R620" s="46">
        <f t="shared" ca="1" si="389"/>
        <v>6800</v>
      </c>
      <c r="S620" s="46">
        <f t="shared" ca="1" si="389"/>
        <v>0</v>
      </c>
      <c r="T620" s="46">
        <f t="shared" ca="1" si="384"/>
        <v>0</v>
      </c>
      <c r="U620" s="46">
        <f t="shared" ca="1" si="385"/>
        <v>0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1"/>
        <v>0</v>
      </c>
      <c r="P621" s="48">
        <f t="shared" si="382"/>
        <v>0</v>
      </c>
      <c r="Q621" s="48">
        <v>0</v>
      </c>
      <c r="R621" s="48">
        <v>0</v>
      </c>
      <c r="S621" s="48">
        <v>0</v>
      </c>
      <c r="T621" s="48">
        <f t="shared" si="384"/>
        <v>0</v>
      </c>
      <c r="U621" s="48">
        <f t="shared" si="385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1"/>
        <v>0</v>
      </c>
      <c r="P622" s="46">
        <f t="shared" si="382"/>
        <v>0</v>
      </c>
      <c r="Q622" s="46">
        <f ca="1">IFERROR(__xludf.DUMMYFUNCTION("IMPORTRANGE(""https://docs.google.com/spreadsheets/d/1ItG2mGa2ceCfYo0BwxsXqNm01IGEUdYcSSLTEv9YCik/edit?usp=sharing"",""เบิกจ่ายกองทุน!F80"")"),6800)</f>
        <v>6800</v>
      </c>
      <c r="R622" s="46">
        <f ca="1">IFERROR(__xludf.DUMMYFUNCTION("IMPORTRANGE(""https://docs.google.com/spreadsheets/d/1ItG2mGa2ceCfYo0BwxsXqNm01IGEUdYcSSLTEv9YCik/edit?usp=sharing"",""เบิกจ่ายกองทุน!G80"")"),6800)</f>
        <v>6800</v>
      </c>
      <c r="S622" s="46">
        <f ca="1">IFERROR(__xludf.DUMMYFUNCTION("IMPORTRANGE(""https://docs.google.com/spreadsheets/d/1ItG2mGa2ceCfYo0BwxsXqNm01IGEUdYcSSLTEv9YCik/edit?usp=sharing"",""เบิกจ่ายกองทุน!H80"")"),0)</f>
        <v>0</v>
      </c>
      <c r="T622" s="46">
        <f t="shared" ca="1" si="384"/>
        <v>0</v>
      </c>
      <c r="U622" s="46">
        <f t="shared" ca="1" si="385"/>
        <v>0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0">L624+L625</f>
        <v>0</v>
      </c>
      <c r="M623" s="46">
        <f t="shared" si="390"/>
        <v>0</v>
      </c>
      <c r="N623" s="46">
        <f t="shared" si="390"/>
        <v>0</v>
      </c>
      <c r="O623" s="46">
        <f t="shared" si="381"/>
        <v>0</v>
      </c>
      <c r="P623" s="46">
        <f t="shared" si="382"/>
        <v>0</v>
      </c>
      <c r="Q623" s="46">
        <f t="shared" ref="Q623:S623" si="391">Q624+Q625</f>
        <v>0</v>
      </c>
      <c r="R623" s="46">
        <f t="shared" si="391"/>
        <v>0</v>
      </c>
      <c r="S623" s="46">
        <f t="shared" si="391"/>
        <v>0</v>
      </c>
      <c r="T623" s="46">
        <f t="shared" si="384"/>
        <v>0</v>
      </c>
      <c r="U623" s="46">
        <f t="shared" si="385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1"/>
        <v>0</v>
      </c>
      <c r="P624" s="48">
        <f t="shared" si="382"/>
        <v>0</v>
      </c>
      <c r="Q624" s="48">
        <v>0</v>
      </c>
      <c r="R624" s="48">
        <v>0</v>
      </c>
      <c r="S624" s="48">
        <v>0</v>
      </c>
      <c r="T624" s="48">
        <f t="shared" si="384"/>
        <v>0</v>
      </c>
      <c r="U624" s="48">
        <f t="shared" si="385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1"/>
        <v>0</v>
      </c>
      <c r="P625" s="46">
        <f t="shared" si="382"/>
        <v>0</v>
      </c>
      <c r="Q625" s="46">
        <v>0</v>
      </c>
      <c r="R625" s="46">
        <v>0</v>
      </c>
      <c r="S625" s="46">
        <v>0</v>
      </c>
      <c r="T625" s="46">
        <f t="shared" si="384"/>
        <v>0</v>
      </c>
      <c r="U625" s="46">
        <f t="shared" si="385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IFERROR(__xludf.DUMMYFUNCTION("IMPORTRANGE(""https://docs.google.com/spreadsheets/d/1eHaY18a8A9IcSdp1K8H6x8fbOy06t2VsZHhMHf-1x7Y/edit?usp=sharing"",""แผน!ID80"")"),50)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8">
        <v>0</v>
      </c>
      <c r="K628" s="46">
        <f t="shared" ref="K628:K629" ca="1" si="392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IFERROR(__xludf.DUMMYFUNCTION("IMPORTRANGE(""https://docs.google.com/spreadsheets/d/1eHaY18a8A9IcSdp1K8H6x8fbOy06t2VsZHhMHf-1x7Y/edit?usp=sharing"",""แผน!IC80"")"),0)</f>
        <v>0</v>
      </c>
      <c r="J629" s="168">
        <v>0</v>
      </c>
      <c r="K629" s="46">
        <f t="shared" ca="1" si="392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3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3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3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IFERROR(__xludf.DUMMYFUNCTION("IMPORTRANGE(""https://docs.google.com/spreadsheets/d/1eHaY18a8A9IcSdp1K8H6x8fbOy06t2VsZHhMHf-1x7Y/edit?usp=sharing"",""แผน!IE80"")"),0)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4">L644+L645</f>
        <v>0</v>
      </c>
      <c r="M643" s="132">
        <f t="shared" si="394"/>
        <v>0</v>
      </c>
      <c r="N643" s="132">
        <f t="shared" si="394"/>
        <v>0</v>
      </c>
      <c r="O643" s="132">
        <f t="shared" ref="O643:O651" si="395">IF(L643&gt;0,N643*100/L643,0)</f>
        <v>0</v>
      </c>
      <c r="P643" s="132">
        <f t="shared" ref="P643:P651" si="396">IF(M643&gt;0,N643*100/M643,0)</f>
        <v>0</v>
      </c>
      <c r="Q643" s="132">
        <f t="shared" ref="Q643:S643" ca="1" si="397">Q644+Q645</f>
        <v>8200</v>
      </c>
      <c r="R643" s="132">
        <f t="shared" ca="1" si="397"/>
        <v>8200</v>
      </c>
      <c r="S643" s="132">
        <f t="shared" ca="1" si="397"/>
        <v>0</v>
      </c>
      <c r="T643" s="132">
        <f t="shared" ref="T643:T651" ca="1" si="398">IF(Q643&gt;0,S643*100/Q643,0)</f>
        <v>0</v>
      </c>
      <c r="U643" s="132">
        <f t="shared" ref="U643:U651" ca="1" si="399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0">L647+L650</f>
        <v>0</v>
      </c>
      <c r="M644" s="48">
        <f t="shared" si="400"/>
        <v>0</v>
      </c>
      <c r="N644" s="48">
        <f t="shared" si="400"/>
        <v>0</v>
      </c>
      <c r="O644" s="48">
        <f t="shared" si="395"/>
        <v>0</v>
      </c>
      <c r="P644" s="48">
        <f t="shared" si="396"/>
        <v>0</v>
      </c>
      <c r="Q644" s="48">
        <f t="shared" ref="Q644:S645" si="401">Q647+Q650</f>
        <v>0</v>
      </c>
      <c r="R644" s="48">
        <f t="shared" si="401"/>
        <v>0</v>
      </c>
      <c r="S644" s="48">
        <f t="shared" si="401"/>
        <v>0</v>
      </c>
      <c r="T644" s="48">
        <f t="shared" si="398"/>
        <v>0</v>
      </c>
      <c r="U644" s="48">
        <f t="shared" si="399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0"/>
        <v>0</v>
      </c>
      <c r="M645" s="46">
        <f t="shared" si="400"/>
        <v>0</v>
      </c>
      <c r="N645" s="46">
        <f t="shared" si="400"/>
        <v>0</v>
      </c>
      <c r="O645" s="46">
        <f t="shared" si="395"/>
        <v>0</v>
      </c>
      <c r="P645" s="46">
        <f t="shared" si="396"/>
        <v>0</v>
      </c>
      <c r="Q645" s="46">
        <f t="shared" ca="1" si="401"/>
        <v>8200</v>
      </c>
      <c r="R645" s="46">
        <f t="shared" ca="1" si="401"/>
        <v>8200</v>
      </c>
      <c r="S645" s="46">
        <f t="shared" ca="1" si="401"/>
        <v>0</v>
      </c>
      <c r="T645" s="46">
        <f t="shared" ca="1" si="398"/>
        <v>0</v>
      </c>
      <c r="U645" s="46">
        <f t="shared" ca="1" si="399"/>
        <v>0</v>
      </c>
    </row>
    <row r="646" spans="1:21" ht="18.75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2">L647+L648</f>
        <v>0</v>
      </c>
      <c r="M646" s="46">
        <f t="shared" si="402"/>
        <v>0</v>
      </c>
      <c r="N646" s="46">
        <f t="shared" si="402"/>
        <v>0</v>
      </c>
      <c r="O646" s="46">
        <f t="shared" si="395"/>
        <v>0</v>
      </c>
      <c r="P646" s="46">
        <f t="shared" si="396"/>
        <v>0</v>
      </c>
      <c r="Q646" s="46">
        <f t="shared" ref="Q646:S646" ca="1" si="403">Q647+Q648</f>
        <v>8200</v>
      </c>
      <c r="R646" s="46">
        <f t="shared" ca="1" si="403"/>
        <v>8200</v>
      </c>
      <c r="S646" s="46">
        <f t="shared" ca="1" si="403"/>
        <v>0</v>
      </c>
      <c r="T646" s="46">
        <f t="shared" ca="1" si="398"/>
        <v>0</v>
      </c>
      <c r="U646" s="46">
        <f t="shared" ca="1" si="399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5"/>
        <v>0</v>
      </c>
      <c r="P647" s="48">
        <f t="shared" si="396"/>
        <v>0</v>
      </c>
      <c r="Q647" s="48">
        <v>0</v>
      </c>
      <c r="R647" s="48">
        <v>0</v>
      </c>
      <c r="S647" s="48">
        <v>0</v>
      </c>
      <c r="T647" s="48">
        <f t="shared" si="398"/>
        <v>0</v>
      </c>
      <c r="U647" s="48">
        <f t="shared" si="399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5"/>
        <v>0</v>
      </c>
      <c r="P648" s="46">
        <f t="shared" si="396"/>
        <v>0</v>
      </c>
      <c r="Q648" s="46">
        <f ca="1">IFERROR(__xludf.DUMMYFUNCTION("IMPORTRANGE(""https://docs.google.com/spreadsheets/d/1ItG2mGa2ceCfYo0BwxsXqNm01IGEUdYcSSLTEv9YCik/edit?usp=sharing"",""เบิกจ่ายกองทุน!I80"")"),8200)</f>
        <v>8200</v>
      </c>
      <c r="R648" s="46">
        <f ca="1">IFERROR(__xludf.DUMMYFUNCTION("IMPORTRANGE(""https://docs.google.com/spreadsheets/d/1ItG2mGa2ceCfYo0BwxsXqNm01IGEUdYcSSLTEv9YCik/edit?usp=sharing"",""เบิกจ่ายกองทุน!J80"")"),8200)</f>
        <v>8200</v>
      </c>
      <c r="S648" s="46">
        <f ca="1">IFERROR(__xludf.DUMMYFUNCTION("IMPORTRANGE(""https://docs.google.com/spreadsheets/d/1ItG2mGa2ceCfYo0BwxsXqNm01IGEUdYcSSLTEv9YCik/edit?usp=sharing"",""เบิกจ่ายกองทุน!K80"")"),0)</f>
        <v>0</v>
      </c>
      <c r="T648" s="46">
        <f t="shared" ca="1" si="398"/>
        <v>0</v>
      </c>
      <c r="U648" s="46">
        <f t="shared" ca="1" si="399"/>
        <v>0</v>
      </c>
    </row>
    <row r="649" spans="1:21" ht="18.75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4">L650+L651</f>
        <v>0</v>
      </c>
      <c r="M649" s="46">
        <f t="shared" si="404"/>
        <v>0</v>
      </c>
      <c r="N649" s="46">
        <f t="shared" si="404"/>
        <v>0</v>
      </c>
      <c r="O649" s="46">
        <f t="shared" si="395"/>
        <v>0</v>
      </c>
      <c r="P649" s="46">
        <f t="shared" si="396"/>
        <v>0</v>
      </c>
      <c r="Q649" s="46">
        <f t="shared" ref="Q649:S649" si="405">Q650+Q651</f>
        <v>0</v>
      </c>
      <c r="R649" s="46">
        <f t="shared" si="405"/>
        <v>0</v>
      </c>
      <c r="S649" s="46">
        <f t="shared" si="405"/>
        <v>0</v>
      </c>
      <c r="T649" s="46">
        <f t="shared" si="398"/>
        <v>0</v>
      </c>
      <c r="U649" s="46">
        <f t="shared" si="399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5"/>
        <v>0</v>
      </c>
      <c r="P650" s="48">
        <f t="shared" si="396"/>
        <v>0</v>
      </c>
      <c r="Q650" s="48">
        <v>0</v>
      </c>
      <c r="R650" s="48">
        <v>0</v>
      </c>
      <c r="S650" s="48">
        <v>0</v>
      </c>
      <c r="T650" s="48">
        <f t="shared" si="398"/>
        <v>0</v>
      </c>
      <c r="U650" s="48">
        <f t="shared" si="399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5"/>
        <v>0</v>
      </c>
      <c r="P651" s="46">
        <f t="shared" si="396"/>
        <v>0</v>
      </c>
      <c r="Q651" s="46">
        <v>0</v>
      </c>
      <c r="R651" s="46">
        <v>0</v>
      </c>
      <c r="S651" s="46">
        <v>0</v>
      </c>
      <c r="T651" s="46">
        <f t="shared" si="398"/>
        <v>0</v>
      </c>
      <c r="U651" s="46">
        <f t="shared" si="399"/>
        <v>0</v>
      </c>
    </row>
    <row r="652" spans="1:21" ht="19.5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IFERROR(__xludf.DUMMYFUNCTION("IMPORTRANGE(""https://docs.google.com/spreadsheets/d/1eHaY18a8A9IcSdp1K8H6x8fbOy06t2VsZHhMHf-1x7Y/edit?usp=sharing"",""แผน!IF80"")"),0)</f>
        <v>0</v>
      </c>
      <c r="J653" s="152">
        <f ca="1">IFERROR(__xludf.DUMMYFUNCTION("IMPORTRANGE(""https://docs.google.com/spreadsheets/d/1tdoBKaGub7dwA3U6UFTqxio9LNnvDCQjHKmttSEBsFQ/edit?usp=sharing"",""จัดที่ดิน!AU80"")"),0)</f>
        <v>0</v>
      </c>
      <c r="K653" s="46">
        <f t="shared" ref="K653:K655" ca="1" si="406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IFERROR(__xludf.DUMMYFUNCTION("IMPORTRANGE(""https://docs.google.com/spreadsheets/d/1eHaY18a8A9IcSdp1K8H6x8fbOy06t2VsZHhMHf-1x7Y/edit?usp=sharing"",""แผน!IG80"")"),60)</f>
        <v>60</v>
      </c>
      <c r="J654" s="152">
        <f ca="1">IFERROR(__xludf.DUMMYFUNCTION("IMPORTRANGE(""https://docs.google.com/spreadsheets/d/1tdoBKaGub7dwA3U6UFTqxio9LNnvDCQjHKmttSEBsFQ/edit?usp=sharing"",""จัดที่ดิน!AW80"")"),0)</f>
        <v>0</v>
      </c>
      <c r="K654" s="46">
        <f t="shared" ca="1" si="406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IFERROR(__xludf.DUMMYFUNCTION("IMPORTRANGE(""https://docs.google.com/spreadsheets/d/1eHaY18a8A9IcSdp1K8H6x8fbOy06t2VsZHhMHf-1x7Y/edit?usp=sharing"",""แผน!IH80"")"),0)</f>
        <v>0</v>
      </c>
      <c r="J655" s="147">
        <f>J658+J661</f>
        <v>0</v>
      </c>
      <c r="K655" s="132">
        <f t="shared" ca="1" si="406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IFERROR(__xludf.DUMMYFUNCTION("IMPORTRANGE(""https://docs.google.com/spreadsheets/d/1eHaY18a8A9IcSdp1K8H6x8fbOy06t2VsZHhMHf-1x7Y/edit?usp=sharing"",""แผน!II80"")"),0)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IFERROR(__xludf.DUMMYFUNCTION("IMPORTRANGE(""https://docs.google.com/spreadsheets/d/1eHaY18a8A9IcSdp1K8H6x8fbOy06t2VsZHhMHf-1x7Y/edit?usp=sharing"",""แผน!IJ80"")"),0)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IFERROR(__xludf.DUMMYFUNCTION("IMPORTRANGE(""https://docs.google.com/spreadsheets/d/1eHaY18a8A9IcSdp1K8H6x8fbOy06t2VsZHhMHf-1x7Y/edit?usp=sharing"",""แผน!IK80"")"),0)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IFERROR(__xludf.DUMMYFUNCTION("IMPORTRANGE(""https://docs.google.com/spreadsheets/d/1tdoBKaGub7dwA3U6UFTqxio9LNnvDCQjHKmttSEBsFQ/edit?usp=sharing"",""จัดที่ดิน!AY80"")"),0)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IFERROR(__xludf.DUMMYFUNCTION("IMPORTRANGE(""https://docs.google.com/spreadsheets/d/1tdoBKaGub7dwA3U6UFTqxio9LNnvDCQjHKmttSEBsFQ/edit?usp=sharing"",""จัดที่ดิน!AZ80"")"),0)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IFERROR(__xludf.DUMMYFUNCTION("IMPORTRANGE(""https://docs.google.com/spreadsheets/d/1eHaY18a8A9IcSdp1K8H6x8fbOy06t2VsZHhMHf-1x7Y/edit?usp=sharing"",""แผน!IL80"")"),0)</f>
        <v>0</v>
      </c>
      <c r="J674" s="152">
        <f ca="1">IFERROR(__xludf.DUMMYFUNCTION("IMPORTRANGE(""https://docs.google.com/spreadsheets/d/1tdoBKaGub7dwA3U6UFTqxio9LNnvDCQjHKmttSEBsFQ/edit?usp=sharing"",""จัดที่ดิน!BA80"")"),0)</f>
        <v>0</v>
      </c>
      <c r="K674" s="46">
        <f t="shared" ref="K674:K677" ca="1" si="407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IFERROR(__xludf.DUMMYFUNCTION("IMPORTRANGE(""https://docs.google.com/spreadsheets/d/1eHaY18a8A9IcSdp1K8H6x8fbOy06t2VsZHhMHf-1x7Y/edit?usp=sharing"",""แผน!IM80"")"),0)</f>
        <v>0</v>
      </c>
      <c r="J675" s="147">
        <f ca="1">J677+J680</f>
        <v>0</v>
      </c>
      <c r="K675" s="132">
        <f t="shared" ca="1" si="407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IFERROR(__xludf.DUMMYFUNCTION("IMPORTRANGE(""https://docs.google.com/spreadsheets/d/1eHaY18a8A9IcSdp1K8H6x8fbOy06t2VsZHhMHf-1x7Y/edit?usp=sharing"",""แผน!IN80"")"),0)</f>
        <v>0</v>
      </c>
      <c r="J676" s="147">
        <f ca="1">J679+J682</f>
        <v>0</v>
      </c>
      <c r="K676" s="132">
        <f t="shared" ca="1" si="407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IFERROR(__xludf.DUMMYFUNCTION("IMPORTRANGE(""https://docs.google.com/spreadsheets/d/1eHaY18a8A9IcSdp1K8H6x8fbOy06t2VsZHhMHf-1x7Y/edit?usp=sharing"",""แผน!IO80"")"),0)</f>
        <v>0</v>
      </c>
      <c r="J677" s="152">
        <f ca="1">IFERROR(__xludf.DUMMYFUNCTION("IMPORTRANGE(""https://docs.google.com/spreadsheets/d/1tdoBKaGub7dwA3U6UFTqxio9LNnvDCQjHKmttSEBsFQ/edit?usp=sharing"",""จัดที่ดิน!BF80"")"),0)</f>
        <v>0</v>
      </c>
      <c r="K677" s="46">
        <f t="shared" ca="1" si="407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IFERROR(__xludf.DUMMYFUNCTION("IMPORTRANGE(""https://docs.google.com/spreadsheets/d/1tdoBKaGub7dwA3U6UFTqxio9LNnvDCQjHKmttSEBsFQ/edit?usp=sharing"",""จัดที่ดิน!BG80"")"),0)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IFERROR(__xludf.DUMMYFUNCTION("IMPORTRANGE(""https://docs.google.com/spreadsheets/d/1eHaY18a8A9IcSdp1K8H6x8fbOy06t2VsZHhMHf-1x7Y/edit?usp=sharing"",""แผน!IP80"")"),0)</f>
        <v>0</v>
      </c>
      <c r="J679" s="152">
        <f ca="1">IFERROR(__xludf.DUMMYFUNCTION("IMPORTRANGE(""https://docs.google.com/spreadsheets/d/1tdoBKaGub7dwA3U6UFTqxio9LNnvDCQjHKmttSEBsFQ/edit?usp=sharing"",""จัดที่ดิน!BH80"")"),0)</f>
        <v>0</v>
      </c>
      <c r="K679" s="46">
        <f t="shared" ref="K679:K680" ca="1" si="408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IFERROR(__xludf.DUMMYFUNCTION("IMPORTRANGE(""https://docs.google.com/spreadsheets/d/1eHaY18a8A9IcSdp1K8H6x8fbOy06t2VsZHhMHf-1x7Y/edit?usp=sharing"",""แผน!IQ80"")"),0)</f>
        <v>0</v>
      </c>
      <c r="J680" s="152">
        <f ca="1">IFERROR(__xludf.DUMMYFUNCTION("IMPORTRANGE(""https://docs.google.com/spreadsheets/d/1tdoBKaGub7dwA3U6UFTqxio9LNnvDCQjHKmttSEBsFQ/edit?usp=sharing"",""จัดที่ดิน!BK80"")"),0)</f>
        <v>0</v>
      </c>
      <c r="K680" s="46">
        <f t="shared" ca="1" si="408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IFERROR(__xludf.DUMMYFUNCTION("IMPORTRANGE(""https://docs.google.com/spreadsheets/d/1tdoBKaGub7dwA3U6UFTqxio9LNnvDCQjHKmttSEBsFQ/edit?usp=sharing"",""จัดที่ดิน!BL80"")"),0)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IFERROR(__xludf.DUMMYFUNCTION("IMPORTRANGE(""https://docs.google.com/spreadsheets/d/1eHaY18a8A9IcSdp1K8H6x8fbOy06t2VsZHhMHf-1x7Y/edit?usp=sharing"",""แผน!IR80"")"),0)</f>
        <v>0</v>
      </c>
      <c r="J682" s="152">
        <f ca="1">IFERROR(__xludf.DUMMYFUNCTION("IMPORTRANGE(""https://docs.google.com/spreadsheets/d/1tdoBKaGub7dwA3U6UFTqxio9LNnvDCQjHKmttSEBsFQ/edit?usp=sharing"",""จัดที่ดิน!BM80"")"),0)</f>
        <v>0</v>
      </c>
      <c r="K682" s="46">
        <f t="shared" ref="K682:K683" ca="1" si="409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IFERROR(__xludf.DUMMYFUNCTION("IMPORTRANGE(""https://docs.google.com/spreadsheets/d/1eHaY18a8A9IcSdp1K8H6x8fbOy06t2VsZHhMHf-1x7Y/edit?usp=sharing"",""แผน!IS80"")"),0)</f>
        <v>0</v>
      </c>
      <c r="J683" s="147">
        <f>J686+J689</f>
        <v>0</v>
      </c>
      <c r="K683" s="132">
        <f t="shared" ca="1" si="409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hidden="1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0">I708</f>
        <v>0</v>
      </c>
      <c r="J690" s="753">
        <f t="shared" ca="1" si="410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hidden="1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1">L692+L693</f>
        <v>0</v>
      </c>
      <c r="M691" s="132">
        <f t="shared" si="411"/>
        <v>0</v>
      </c>
      <c r="N691" s="132">
        <f t="shared" si="411"/>
        <v>0</v>
      </c>
      <c r="O691" s="132">
        <f t="shared" ref="O691:O699" si="412">IF(L691&gt;0,N691*100/L691,0)</f>
        <v>0</v>
      </c>
      <c r="P691" s="132">
        <f t="shared" ref="P691:P699" si="413">IF(M691&gt;0,N691*100/M691,0)</f>
        <v>0</v>
      </c>
      <c r="Q691" s="132">
        <f t="shared" ref="Q691:S691" ca="1" si="414">Q692+Q693</f>
        <v>0</v>
      </c>
      <c r="R691" s="132">
        <f t="shared" ca="1" si="414"/>
        <v>0</v>
      </c>
      <c r="S691" s="132">
        <f t="shared" ca="1" si="414"/>
        <v>0</v>
      </c>
      <c r="T691" s="132">
        <f t="shared" ref="T691:T699" ca="1" si="415">IF(Q691&gt;0,S691*100/Q691,0)</f>
        <v>0</v>
      </c>
      <c r="U691" s="132">
        <f t="shared" ref="U691:U699" ca="1" si="416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7">L695+L698</f>
        <v>0</v>
      </c>
      <c r="M692" s="48">
        <f t="shared" si="417"/>
        <v>0</v>
      </c>
      <c r="N692" s="48">
        <f t="shared" si="417"/>
        <v>0</v>
      </c>
      <c r="O692" s="48">
        <f t="shared" si="412"/>
        <v>0</v>
      </c>
      <c r="P692" s="48">
        <f t="shared" si="413"/>
        <v>0</v>
      </c>
      <c r="Q692" s="48">
        <f t="shared" ref="Q692:S693" si="418">Q695+Q698</f>
        <v>0</v>
      </c>
      <c r="R692" s="48">
        <f t="shared" si="418"/>
        <v>0</v>
      </c>
      <c r="S692" s="48">
        <f t="shared" si="418"/>
        <v>0</v>
      </c>
      <c r="T692" s="48">
        <f t="shared" si="415"/>
        <v>0</v>
      </c>
      <c r="U692" s="48">
        <f t="shared" si="416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7"/>
        <v>0</v>
      </c>
      <c r="M693" s="46">
        <f t="shared" si="417"/>
        <v>0</v>
      </c>
      <c r="N693" s="46">
        <f t="shared" si="417"/>
        <v>0</v>
      </c>
      <c r="O693" s="46">
        <f t="shared" si="412"/>
        <v>0</v>
      </c>
      <c r="P693" s="46">
        <f t="shared" si="413"/>
        <v>0</v>
      </c>
      <c r="Q693" s="46">
        <f t="shared" ca="1" si="418"/>
        <v>0</v>
      </c>
      <c r="R693" s="46">
        <f t="shared" ca="1" si="418"/>
        <v>0</v>
      </c>
      <c r="S693" s="46">
        <f t="shared" ca="1" si="418"/>
        <v>0</v>
      </c>
      <c r="T693" s="46">
        <f t="shared" ca="1" si="415"/>
        <v>0</v>
      </c>
      <c r="U693" s="46">
        <f t="shared" ca="1" si="416"/>
        <v>0</v>
      </c>
    </row>
    <row r="694" spans="1:21" ht="18.75" hidden="1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19">L695+L696</f>
        <v>0</v>
      </c>
      <c r="M694" s="46">
        <f t="shared" si="419"/>
        <v>0</v>
      </c>
      <c r="N694" s="46">
        <f t="shared" si="419"/>
        <v>0</v>
      </c>
      <c r="O694" s="46">
        <f t="shared" si="412"/>
        <v>0</v>
      </c>
      <c r="P694" s="46">
        <f t="shared" si="413"/>
        <v>0</v>
      </c>
      <c r="Q694" s="46">
        <f t="shared" ref="Q694:S694" ca="1" si="420">Q695+Q696</f>
        <v>0</v>
      </c>
      <c r="R694" s="46">
        <f t="shared" ca="1" si="420"/>
        <v>0</v>
      </c>
      <c r="S694" s="46">
        <f t="shared" ca="1" si="420"/>
        <v>0</v>
      </c>
      <c r="T694" s="46">
        <f t="shared" ca="1" si="415"/>
        <v>0</v>
      </c>
      <c r="U694" s="46">
        <f t="shared" ca="1" si="416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2"/>
        <v>0</v>
      </c>
      <c r="P695" s="48">
        <f t="shared" si="413"/>
        <v>0</v>
      </c>
      <c r="Q695" s="48">
        <v>0</v>
      </c>
      <c r="R695" s="48">
        <v>0</v>
      </c>
      <c r="S695" s="48">
        <v>0</v>
      </c>
      <c r="T695" s="48">
        <f t="shared" si="415"/>
        <v>0</v>
      </c>
      <c r="U695" s="48">
        <f t="shared" si="416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2"/>
        <v>0</v>
      </c>
      <c r="P696" s="46">
        <f t="shared" si="413"/>
        <v>0</v>
      </c>
      <c r="Q696" s="46">
        <f ca="1">IFERROR(__xludf.DUMMYFUNCTION("IMPORTRANGE(""https://docs.google.com/spreadsheets/d/1ItG2mGa2ceCfYo0BwxsXqNm01IGEUdYcSSLTEv9YCik/edit?usp=sharing"",""เบิกจ่ายกองทุน!L80"")"),0)</f>
        <v>0</v>
      </c>
      <c r="R696" s="46">
        <f ca="1">IFERROR(__xludf.DUMMYFUNCTION("IMPORTRANGE(""https://docs.google.com/spreadsheets/d/1ItG2mGa2ceCfYo0BwxsXqNm01IGEUdYcSSLTEv9YCik/edit?usp=sharing"",""เบิกจ่ายกองทุน!M80"")"),0)</f>
        <v>0</v>
      </c>
      <c r="S696" s="46">
        <f ca="1">IFERROR(__xludf.DUMMYFUNCTION("IMPORTRANGE(""https://docs.google.com/spreadsheets/d/1ItG2mGa2ceCfYo0BwxsXqNm01IGEUdYcSSLTEv9YCik/edit?usp=sharing"",""เบิกจ่ายกองทุน!N80"")"),0)</f>
        <v>0</v>
      </c>
      <c r="T696" s="46">
        <f t="shared" ca="1" si="415"/>
        <v>0</v>
      </c>
      <c r="U696" s="46">
        <f t="shared" ca="1" si="416"/>
        <v>0</v>
      </c>
    </row>
    <row r="697" spans="1:21" ht="18.75" hidden="1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1">L698+L699</f>
        <v>0</v>
      </c>
      <c r="M697" s="46">
        <f t="shared" si="421"/>
        <v>0</v>
      </c>
      <c r="N697" s="46">
        <f t="shared" si="421"/>
        <v>0</v>
      </c>
      <c r="O697" s="46">
        <f t="shared" si="412"/>
        <v>0</v>
      </c>
      <c r="P697" s="46">
        <f t="shared" si="413"/>
        <v>0</v>
      </c>
      <c r="Q697" s="46">
        <f t="shared" ref="Q697:S697" si="422">Q698+Q699</f>
        <v>0</v>
      </c>
      <c r="R697" s="46">
        <f t="shared" si="422"/>
        <v>0</v>
      </c>
      <c r="S697" s="46">
        <f t="shared" si="422"/>
        <v>0</v>
      </c>
      <c r="T697" s="46">
        <f t="shared" si="415"/>
        <v>0</v>
      </c>
      <c r="U697" s="46">
        <f t="shared" si="416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2"/>
        <v>0</v>
      </c>
      <c r="P698" s="48">
        <f t="shared" si="413"/>
        <v>0</v>
      </c>
      <c r="Q698" s="48">
        <v>0</v>
      </c>
      <c r="R698" s="48">
        <v>0</v>
      </c>
      <c r="S698" s="48">
        <v>0</v>
      </c>
      <c r="T698" s="48">
        <f t="shared" si="415"/>
        <v>0</v>
      </c>
      <c r="U698" s="48">
        <f t="shared" si="416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2"/>
        <v>0</v>
      </c>
      <c r="P699" s="46">
        <f t="shared" si="413"/>
        <v>0</v>
      </c>
      <c r="Q699" s="46">
        <v>0</v>
      </c>
      <c r="R699" s="46">
        <v>0</v>
      </c>
      <c r="S699" s="46">
        <v>0</v>
      </c>
      <c r="T699" s="46">
        <f t="shared" si="415"/>
        <v>0</v>
      </c>
      <c r="U699" s="46">
        <f t="shared" si="416"/>
        <v>0</v>
      </c>
    </row>
    <row r="700" spans="1:21" ht="19.5" hidden="1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hidden="1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IFERROR(__xludf.DUMMYFUNCTION("IMPORTRANGE(""https://docs.google.com/spreadsheets/d/1eHaY18a8A9IcSdp1K8H6x8fbOy06t2VsZHhMHf-1x7Y/edit?usp=sharing"",""แผน!LC80"")"),0)</f>
        <v>0</v>
      </c>
      <c r="J701" s="168">
        <v>0</v>
      </c>
      <c r="K701" s="153">
        <f t="shared" ref="K701:K711" ca="1" si="423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hidden="1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4">I704+I706</f>
        <v>0</v>
      </c>
      <c r="J702" s="147">
        <f t="shared" ca="1" si="424"/>
        <v>0</v>
      </c>
      <c r="K702" s="132">
        <f t="shared" ca="1" si="423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3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IFERROR(__xludf.DUMMYFUNCTION("IMPORTRANGE(""https://docs.google.com/spreadsheets/d/1eHaY18a8A9IcSdp1K8H6x8fbOy06t2VsZHhMHf-1x7Y/edit?usp=sharing"",""แผน!LJ80"")"),0)</f>
        <v>0</v>
      </c>
      <c r="J704" s="152">
        <f ca="1">IFERROR(__xludf.DUMMYFUNCTION("IMPORTRANGE(""https://docs.google.com/spreadsheets/d/1tdoBKaGub7dwA3U6UFTqxio9LNnvDCQjHKmttSEBsFQ/edit?usp=sharing"",""จัดที่ดิน!AP80"")"),0)</f>
        <v>0</v>
      </c>
      <c r="K704" s="46">
        <f t="shared" ca="1" si="423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IFERROR(__xludf.DUMMYFUNCTION("IMPORTRANGE(""https://docs.google.com/spreadsheets/d/1tdoBKaGub7dwA3U6UFTqxio9LNnvDCQjHKmttSEBsFQ/edit?usp=sharing"",""จัดที่ดิน!AQ80"")"),0)</f>
        <v>0</v>
      </c>
      <c r="K705" s="46">
        <f t="shared" si="423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IFERROR(__xludf.DUMMYFUNCTION("IMPORTRANGE(""https://docs.google.com/spreadsheets/d/1eHaY18a8A9IcSdp1K8H6x8fbOy06t2VsZHhMHf-1x7Y/edit?usp=sharing"",""แผน!LK80"")"),0)</f>
        <v>0</v>
      </c>
      <c r="J706" s="152">
        <f ca="1">IFERROR(__xludf.DUMMYFUNCTION("IMPORTRANGE(""https://docs.google.com/spreadsheets/d/1tdoBKaGub7dwA3U6UFTqxio9LNnvDCQjHKmttSEBsFQ/edit?usp=sharing"",""จัดที่ดิน!AR80"")"),0)</f>
        <v>0</v>
      </c>
      <c r="K706" s="153">
        <f t="shared" ca="1" si="423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IFERROR(__xludf.DUMMYFUNCTION("IMPORTRANGE(""https://docs.google.com/spreadsheets/d/1tdoBKaGub7dwA3U6UFTqxio9LNnvDCQjHKmttSEBsFQ/edit?usp=sharing"",""จัดที่ดิน!AS80"")"),0)</f>
        <v>0</v>
      </c>
      <c r="K707" s="46">
        <f t="shared" si="423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IFERROR(__xludf.DUMMYFUNCTION("IMPORTRANGE(""https://docs.google.com/spreadsheets/d/1eHaY18a8A9IcSdp1K8H6x8fbOy06t2VsZHhMHf-1x7Y/edit?usp=sharing"",""แผน!LJ80"")"),0)</f>
        <v>0</v>
      </c>
      <c r="J708" s="152">
        <f ca="1">IFERROR(__xludf.DUMMYFUNCTION("IMPORTRANGE(""https://docs.google.com/spreadsheets/d/1tdoBKaGub7dwA3U6UFTqxio9LNnvDCQjHKmttSEBsFQ/edit?usp=sharing"",""จัดที่ดิน!BN80"")"),0)</f>
        <v>0</v>
      </c>
      <c r="K708" s="46">
        <f t="shared" ca="1" si="423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IFERROR(__xludf.DUMMYFUNCTION("IMPORTRANGE(""https://docs.google.com/spreadsheets/d/1tdoBKaGub7dwA3U6UFTqxio9LNnvDCQjHKmttSEBsFQ/edit?usp=sharing"",""จัดที่ดิน!BO80"")"),0)</f>
        <v>0</v>
      </c>
      <c r="K709" s="46">
        <f t="shared" si="423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IFERROR(__xludf.DUMMYFUNCTION("IMPORTRANGE(""https://docs.google.com/spreadsheets/d/1eHaY18a8A9IcSdp1K8H6x8fbOy06t2VsZHhMHf-1x7Y/edit?usp=sharing"",""แผน!LK80"")"),0)</f>
        <v>0</v>
      </c>
      <c r="J710" s="152">
        <f ca="1">IFERROR(__xludf.DUMMYFUNCTION("IMPORTRANGE(""https://docs.google.com/spreadsheets/d/1tdoBKaGub7dwA3U6UFTqxio9LNnvDCQjHKmttSEBsFQ/edit?usp=sharing"",""จัดที่ดิน!BP80"")"),0)</f>
        <v>0</v>
      </c>
      <c r="K710" s="46">
        <f t="shared" ca="1" si="423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hidden="1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IFERROR(__xludf.DUMMYFUNCTION("IMPORTRANGE(""https://docs.google.com/spreadsheets/d/1tdoBKaGub7dwA3U6UFTqxio9LNnvDCQjHKmttSEBsFQ/edit?usp=sharing"",""จัดที่ดิน!BQ80"")"),0)</f>
        <v>0</v>
      </c>
      <c r="K711" s="46">
        <f t="shared" si="423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5">L716+L717</f>
        <v>0</v>
      </c>
      <c r="M715" s="132">
        <f t="shared" si="425"/>
        <v>0</v>
      </c>
      <c r="N715" s="132">
        <f t="shared" si="425"/>
        <v>0</v>
      </c>
      <c r="O715" s="132">
        <f t="shared" ref="O715:O723" si="426">IF(L715&gt;0,N715*100/L715,0)</f>
        <v>0</v>
      </c>
      <c r="P715" s="132">
        <f t="shared" ref="P715:P723" si="427">IF(M715&gt;0,N715*100/M715,0)</f>
        <v>0</v>
      </c>
      <c r="Q715" s="132">
        <f t="shared" ref="Q715:S715" si="428">Q716+Q717</f>
        <v>0</v>
      </c>
      <c r="R715" s="132">
        <f t="shared" si="428"/>
        <v>0</v>
      </c>
      <c r="S715" s="132">
        <f t="shared" si="428"/>
        <v>0</v>
      </c>
      <c r="T715" s="132">
        <f t="shared" ref="T715:T723" si="429">IF(Q715&gt;0,S715*100/Q715,0)</f>
        <v>0</v>
      </c>
      <c r="U715" s="132">
        <f t="shared" ref="U715:U723" si="430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1">L719+L722</f>
        <v>0</v>
      </c>
      <c r="M716" s="48">
        <f t="shared" si="431"/>
        <v>0</v>
      </c>
      <c r="N716" s="48">
        <f t="shared" si="431"/>
        <v>0</v>
      </c>
      <c r="O716" s="48">
        <f t="shared" si="426"/>
        <v>0</v>
      </c>
      <c r="P716" s="48">
        <f t="shared" si="427"/>
        <v>0</v>
      </c>
      <c r="Q716" s="48">
        <f t="shared" ref="Q716:S717" si="432">Q719+Q722</f>
        <v>0</v>
      </c>
      <c r="R716" s="48">
        <f t="shared" si="432"/>
        <v>0</v>
      </c>
      <c r="S716" s="48">
        <f t="shared" si="432"/>
        <v>0</v>
      </c>
      <c r="T716" s="48">
        <f t="shared" si="429"/>
        <v>0</v>
      </c>
      <c r="U716" s="48">
        <f t="shared" si="430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1"/>
        <v>0</v>
      </c>
      <c r="M717" s="46">
        <f t="shared" si="431"/>
        <v>0</v>
      </c>
      <c r="N717" s="46">
        <f t="shared" si="431"/>
        <v>0</v>
      </c>
      <c r="O717" s="46">
        <f t="shared" si="426"/>
        <v>0</v>
      </c>
      <c r="P717" s="46">
        <f t="shared" si="427"/>
        <v>0</v>
      </c>
      <c r="Q717" s="46">
        <f t="shared" si="432"/>
        <v>0</v>
      </c>
      <c r="R717" s="46">
        <f t="shared" si="432"/>
        <v>0</v>
      </c>
      <c r="S717" s="46">
        <f t="shared" si="432"/>
        <v>0</v>
      </c>
      <c r="T717" s="46">
        <f t="shared" si="429"/>
        <v>0</v>
      </c>
      <c r="U717" s="46">
        <f t="shared" si="430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3">L719+L720</f>
        <v>0</v>
      </c>
      <c r="M718" s="46">
        <f t="shared" si="433"/>
        <v>0</v>
      </c>
      <c r="N718" s="46">
        <f t="shared" si="433"/>
        <v>0</v>
      </c>
      <c r="O718" s="46">
        <f t="shared" si="426"/>
        <v>0</v>
      </c>
      <c r="P718" s="46">
        <f t="shared" si="427"/>
        <v>0</v>
      </c>
      <c r="Q718" s="46">
        <f t="shared" ref="Q718:S718" si="434">Q719+Q720</f>
        <v>0</v>
      </c>
      <c r="R718" s="46">
        <f t="shared" si="434"/>
        <v>0</v>
      </c>
      <c r="S718" s="46">
        <f t="shared" si="434"/>
        <v>0</v>
      </c>
      <c r="T718" s="46">
        <f t="shared" si="429"/>
        <v>0</v>
      </c>
      <c r="U718" s="46">
        <f t="shared" si="430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6"/>
        <v>0</v>
      </c>
      <c r="P719" s="48">
        <f t="shared" si="427"/>
        <v>0</v>
      </c>
      <c r="Q719" s="48">
        <v>0</v>
      </c>
      <c r="R719" s="48">
        <v>0</v>
      </c>
      <c r="S719" s="48">
        <v>0</v>
      </c>
      <c r="T719" s="48">
        <f t="shared" si="429"/>
        <v>0</v>
      </c>
      <c r="U719" s="48">
        <f t="shared" si="430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6"/>
        <v>0</v>
      </c>
      <c r="P720" s="46">
        <f t="shared" si="427"/>
        <v>0</v>
      </c>
      <c r="Q720" s="46">
        <v>0</v>
      </c>
      <c r="R720" s="46">
        <v>0</v>
      </c>
      <c r="S720" s="46">
        <v>0</v>
      </c>
      <c r="T720" s="46">
        <f t="shared" si="429"/>
        <v>0</v>
      </c>
      <c r="U720" s="46">
        <f t="shared" si="430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5">L722+L723</f>
        <v>0</v>
      </c>
      <c r="M721" s="46">
        <f t="shared" si="435"/>
        <v>0</v>
      </c>
      <c r="N721" s="46">
        <f t="shared" si="435"/>
        <v>0</v>
      </c>
      <c r="O721" s="46">
        <f t="shared" si="426"/>
        <v>0</v>
      </c>
      <c r="P721" s="46">
        <f t="shared" si="427"/>
        <v>0</v>
      </c>
      <c r="Q721" s="46">
        <f t="shared" ref="Q721:S721" si="436">Q722+Q723</f>
        <v>0</v>
      </c>
      <c r="R721" s="46">
        <f t="shared" si="436"/>
        <v>0</v>
      </c>
      <c r="S721" s="46">
        <f t="shared" si="436"/>
        <v>0</v>
      </c>
      <c r="T721" s="46">
        <f t="shared" si="429"/>
        <v>0</v>
      </c>
      <c r="U721" s="46">
        <f t="shared" si="430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6"/>
        <v>0</v>
      </c>
      <c r="P722" s="48">
        <f t="shared" si="427"/>
        <v>0</v>
      </c>
      <c r="Q722" s="48">
        <v>0</v>
      </c>
      <c r="R722" s="48">
        <v>0</v>
      </c>
      <c r="S722" s="48">
        <v>0</v>
      </c>
      <c r="T722" s="48">
        <f t="shared" si="429"/>
        <v>0</v>
      </c>
      <c r="U722" s="48">
        <f t="shared" si="430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6"/>
        <v>0</v>
      </c>
      <c r="P723" s="46">
        <f t="shared" si="427"/>
        <v>0</v>
      </c>
      <c r="Q723" s="46">
        <v>0</v>
      </c>
      <c r="R723" s="46">
        <v>0</v>
      </c>
      <c r="S723" s="46">
        <v>0</v>
      </c>
      <c r="T723" s="46">
        <f t="shared" si="429"/>
        <v>0</v>
      </c>
      <c r="U723" s="46">
        <f t="shared" si="430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IFERROR(__xludf.DUMMYFUNCTION("IMPORTRANGE(""https://docs.google.com/spreadsheets/d/1eHaY18a8A9IcSdp1K8H6x8fbOy06t2VsZHhMHf-1x7Y/edit?usp=sharing"",""แผน!GA80"")"),6)</f>
        <v>6</v>
      </c>
      <c r="J727" s="448">
        <f>J743+J747+J750</f>
        <v>0</v>
      </c>
      <c r="K727" s="449">
        <f t="shared" ref="K727:K728" ca="1" si="437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IFERROR(__xludf.DUMMYFUNCTION("IMPORTRANGE(""https://docs.google.com/spreadsheets/d/1eHaY18a8A9IcSdp1K8H6x8fbOy06t2VsZHhMHf-1x7Y/edit?usp=sharing"",""แผน!FZ80"")"),50)</f>
        <v>50</v>
      </c>
      <c r="J728" s="448">
        <f>J753+J756</f>
        <v>0</v>
      </c>
      <c r="K728" s="449">
        <f t="shared" ca="1" si="437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8">L730+L731</f>
        <v>0</v>
      </c>
      <c r="M729" s="132">
        <f t="shared" si="438"/>
        <v>0</v>
      </c>
      <c r="N729" s="132">
        <f t="shared" si="438"/>
        <v>0</v>
      </c>
      <c r="O729" s="132">
        <f t="shared" ref="O729:O737" si="439">IF(L729&gt;0,N729*100/L729,0)</f>
        <v>0</v>
      </c>
      <c r="P729" s="132">
        <f t="shared" ref="P729:P737" si="440">IF(M729&gt;0,N729*100/M729,0)</f>
        <v>0</v>
      </c>
      <c r="Q729" s="132">
        <f t="shared" ref="Q729:S729" ca="1" si="441">Q730+Q731</f>
        <v>79606</v>
      </c>
      <c r="R729" s="132">
        <f t="shared" ca="1" si="441"/>
        <v>79606</v>
      </c>
      <c r="S729" s="132">
        <f t="shared" ca="1" si="441"/>
        <v>1000</v>
      </c>
      <c r="T729" s="132">
        <f t="shared" ref="T729:T737" ca="1" si="442">IF(Q729&gt;0,S729*100/Q729,0)</f>
        <v>1.2561867195940004</v>
      </c>
      <c r="U729" s="132">
        <f t="shared" ref="U729:U737" ca="1" si="443">IF(R729&gt;0,S729*100/R729,0)</f>
        <v>1.2561867195940004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4">L733+L736</f>
        <v>0</v>
      </c>
      <c r="M730" s="48">
        <f t="shared" si="444"/>
        <v>0</v>
      </c>
      <c r="N730" s="48">
        <f t="shared" si="444"/>
        <v>0</v>
      </c>
      <c r="O730" s="48">
        <f t="shared" si="439"/>
        <v>0</v>
      </c>
      <c r="P730" s="48">
        <f t="shared" si="440"/>
        <v>0</v>
      </c>
      <c r="Q730" s="48">
        <f t="shared" ref="Q730:S731" si="445">Q733+Q736</f>
        <v>0</v>
      </c>
      <c r="R730" s="48">
        <f t="shared" si="445"/>
        <v>0</v>
      </c>
      <c r="S730" s="48">
        <f t="shared" si="445"/>
        <v>0</v>
      </c>
      <c r="T730" s="48">
        <f t="shared" si="442"/>
        <v>0</v>
      </c>
      <c r="U730" s="48">
        <f t="shared" si="443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4"/>
        <v>0</v>
      </c>
      <c r="M731" s="46">
        <f t="shared" si="444"/>
        <v>0</v>
      </c>
      <c r="N731" s="46">
        <f t="shared" si="444"/>
        <v>0</v>
      </c>
      <c r="O731" s="46">
        <f t="shared" si="439"/>
        <v>0</v>
      </c>
      <c r="P731" s="46">
        <f t="shared" si="440"/>
        <v>0</v>
      </c>
      <c r="Q731" s="46">
        <f t="shared" ca="1" si="445"/>
        <v>79606</v>
      </c>
      <c r="R731" s="46">
        <f t="shared" ca="1" si="445"/>
        <v>79606</v>
      </c>
      <c r="S731" s="46">
        <f t="shared" ca="1" si="445"/>
        <v>1000</v>
      </c>
      <c r="T731" s="46">
        <f t="shared" ca="1" si="442"/>
        <v>1.2561867195940004</v>
      </c>
      <c r="U731" s="46">
        <f t="shared" ca="1" si="443"/>
        <v>1.2561867195940004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6">L733+L734</f>
        <v>0</v>
      </c>
      <c r="M732" s="46">
        <f t="shared" si="446"/>
        <v>0</v>
      </c>
      <c r="N732" s="46">
        <f t="shared" si="446"/>
        <v>0</v>
      </c>
      <c r="O732" s="46">
        <f t="shared" si="439"/>
        <v>0</v>
      </c>
      <c r="P732" s="46">
        <f t="shared" si="440"/>
        <v>0</v>
      </c>
      <c r="Q732" s="46">
        <f t="shared" ref="Q732:S732" ca="1" si="447">Q733+Q734</f>
        <v>79606</v>
      </c>
      <c r="R732" s="46">
        <f t="shared" ca="1" si="447"/>
        <v>79606</v>
      </c>
      <c r="S732" s="46">
        <f t="shared" ca="1" si="447"/>
        <v>1000</v>
      </c>
      <c r="T732" s="46">
        <f t="shared" ca="1" si="442"/>
        <v>1.2561867195940004</v>
      </c>
      <c r="U732" s="46">
        <f t="shared" ca="1" si="443"/>
        <v>1.2561867195940004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39"/>
        <v>0</v>
      </c>
      <c r="P733" s="48">
        <f t="shared" si="440"/>
        <v>0</v>
      </c>
      <c r="Q733" s="48">
        <v>0</v>
      </c>
      <c r="R733" s="48">
        <v>0</v>
      </c>
      <c r="S733" s="48">
        <v>0</v>
      </c>
      <c r="T733" s="48">
        <f t="shared" si="442"/>
        <v>0</v>
      </c>
      <c r="U733" s="48">
        <f t="shared" si="443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39"/>
        <v>0</v>
      </c>
      <c r="P734" s="46">
        <f t="shared" si="440"/>
        <v>0</v>
      </c>
      <c r="Q734" s="46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4" s="46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4" s="46">
        <f ca="1">IFERROR(__xludf.DUMMYFUNCTION("IMPORTRANGE(""https://docs.google.com/spreadsheets/d/1ItG2mGa2ceCfYo0BwxsXqNm01IGEUdYcSSLTEv9YCik/edit?usp=sharing"",""เบิกจ่ายกองทุน!Q80"")"),1000)</f>
        <v>1000</v>
      </c>
      <c r="T734" s="46">
        <f t="shared" ca="1" si="442"/>
        <v>1.2561867195940004</v>
      </c>
      <c r="U734" s="46">
        <f t="shared" ca="1" si="443"/>
        <v>1.2561867195940004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8">L736+L737</f>
        <v>0</v>
      </c>
      <c r="M735" s="46">
        <f t="shared" si="448"/>
        <v>0</v>
      </c>
      <c r="N735" s="46">
        <f t="shared" si="448"/>
        <v>0</v>
      </c>
      <c r="O735" s="46">
        <f t="shared" si="439"/>
        <v>0</v>
      </c>
      <c r="P735" s="46">
        <f t="shared" si="440"/>
        <v>0</v>
      </c>
      <c r="Q735" s="46">
        <f t="shared" ref="Q735:S735" si="449">Q736+Q737</f>
        <v>0</v>
      </c>
      <c r="R735" s="46">
        <f t="shared" si="449"/>
        <v>0</v>
      </c>
      <c r="S735" s="46">
        <f t="shared" si="449"/>
        <v>0</v>
      </c>
      <c r="T735" s="46">
        <f t="shared" si="442"/>
        <v>0</v>
      </c>
      <c r="U735" s="46">
        <f t="shared" si="443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39"/>
        <v>0</v>
      </c>
      <c r="P736" s="48">
        <f t="shared" si="440"/>
        <v>0</v>
      </c>
      <c r="Q736" s="48">
        <v>0</v>
      </c>
      <c r="R736" s="48">
        <v>0</v>
      </c>
      <c r="S736" s="48">
        <v>0</v>
      </c>
      <c r="T736" s="48">
        <f t="shared" si="442"/>
        <v>0</v>
      </c>
      <c r="U736" s="48">
        <f t="shared" si="443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39"/>
        <v>0</v>
      </c>
      <c r="P737" s="46">
        <f t="shared" si="440"/>
        <v>0</v>
      </c>
      <c r="Q737" s="46">
        <v>0</v>
      </c>
      <c r="R737" s="46">
        <v>0</v>
      </c>
      <c r="S737" s="46">
        <v>0</v>
      </c>
      <c r="T737" s="46">
        <f t="shared" si="442"/>
        <v>0</v>
      </c>
      <c r="U737" s="46">
        <f t="shared" si="443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IFERROR(__xludf.DUMMYFUNCTION("IMPORTRANGE(""https://docs.google.com/spreadsheets/d/1eHaY18a8A9IcSdp1K8H6x8fbOy06t2VsZHhMHf-1x7Y/edit?usp=sharing"",""แผน!GB80"")"),40)</f>
        <v>40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IFERROR(__xludf.DUMMYFUNCTION("IMPORTRANGE(""https://docs.google.com/spreadsheets/d/1eHaY18a8A9IcSdp1K8H6x8fbOy06t2VsZHhMHf-1x7Y/edit?usp=sharing"",""แผน!GC80"")"),4)</f>
        <v>4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IFERROR(__xludf.DUMMYFUNCTION("IMPORTRANGE(""https://docs.google.com/spreadsheets/d/1eHaY18a8A9IcSdp1K8H6x8fbOy06t2VsZHhMHf-1x7Y/edit?usp=sharing"",""แผน!GD80"")"),10)</f>
        <v>10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IFERROR(__xludf.DUMMYFUNCTION("IMPORTRANGE(""https://docs.google.com/spreadsheets/d/1eHaY18a8A9IcSdp1K8H6x8fbOy06t2VsZHhMHf-1x7Y/edit?usp=sharing"",""แผน!GE80"")"),1)</f>
        <v>1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IFERROR(__xludf.DUMMYFUNCTION("IMPORTRANGE(""https://docs.google.com/spreadsheets/d/1eHaY18a8A9IcSdp1K8H6x8fbOy06t2VsZHhMHf-1x7Y/edit?usp=sharing"",""แผน!GF80"")"),1)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IFERROR(__xludf.DUMMYFUNCTION("IMPORTRANGE(""https://docs.google.com/spreadsheets/d/1eHaY18a8A9IcSdp1K8H6x8fbOy06t2VsZHhMHf-1x7Y/edit?usp=sharing"",""แผน!GB80"")"),40)</f>
        <v>40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IFERROR(__xludf.DUMMYFUNCTION("IMPORTRANGE(""https://docs.google.com/spreadsheets/d/1eHaY18a8A9IcSdp1K8H6x8fbOy06t2VsZHhMHf-1x7Y/edit?usp=sharing"",""แผน!GD80"")"),10)</f>
        <v>10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0">I773</f>
        <v>10</v>
      </c>
      <c r="J759" s="448">
        <f t="shared" si="450"/>
        <v>10</v>
      </c>
      <c r="K759" s="449">
        <f t="shared" ref="K759:K760" ca="1" si="451">IF(I759&gt;0,J759*100/I759,0)</f>
        <v>100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2">I775</f>
        <v>20</v>
      </c>
      <c r="J760" s="448">
        <f t="shared" si="452"/>
        <v>20</v>
      </c>
      <c r="K760" s="449">
        <f t="shared" ca="1" si="451"/>
        <v>100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3">L762+L763</f>
        <v>0</v>
      </c>
      <c r="M761" s="132">
        <f t="shared" si="453"/>
        <v>0</v>
      </c>
      <c r="N761" s="132">
        <f t="shared" si="453"/>
        <v>0</v>
      </c>
      <c r="O761" s="132">
        <f t="shared" ref="O761:O769" si="454">IF(L761&gt;0,N761*100/L761,0)</f>
        <v>0</v>
      </c>
      <c r="P761" s="132">
        <f t="shared" ref="P761:P769" si="455">IF(M761&gt;0,N761*100/M761,0)</f>
        <v>0</v>
      </c>
      <c r="Q761" s="132">
        <f t="shared" ref="Q761:S761" ca="1" si="456">Q762+Q763</f>
        <v>91360</v>
      </c>
      <c r="R761" s="132">
        <f t="shared" ca="1" si="456"/>
        <v>91360</v>
      </c>
      <c r="S761" s="132">
        <f t="shared" ca="1" si="456"/>
        <v>77420</v>
      </c>
      <c r="T761" s="132">
        <f t="shared" ref="T761:T769" ca="1" si="457">IF(Q761&gt;0,S761*100/Q761,0)</f>
        <v>84.741681260945711</v>
      </c>
      <c r="U761" s="132">
        <f t="shared" ref="U761:U769" ca="1" si="458">IF(R761&gt;0,S761*100/R761,0)</f>
        <v>84.741681260945711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59">L765+L768</f>
        <v>0</v>
      </c>
      <c r="M762" s="48">
        <f t="shared" si="459"/>
        <v>0</v>
      </c>
      <c r="N762" s="48">
        <f t="shared" si="459"/>
        <v>0</v>
      </c>
      <c r="O762" s="48">
        <f t="shared" si="454"/>
        <v>0</v>
      </c>
      <c r="P762" s="48">
        <f t="shared" si="455"/>
        <v>0</v>
      </c>
      <c r="Q762" s="48">
        <f t="shared" ref="Q762:S763" si="460">Q765+Q768</f>
        <v>0</v>
      </c>
      <c r="R762" s="48">
        <f t="shared" si="460"/>
        <v>0</v>
      </c>
      <c r="S762" s="48">
        <f t="shared" si="460"/>
        <v>0</v>
      </c>
      <c r="T762" s="48">
        <f t="shared" si="457"/>
        <v>0</v>
      </c>
      <c r="U762" s="48">
        <f t="shared" si="458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59"/>
        <v>0</v>
      </c>
      <c r="M763" s="46">
        <f t="shared" si="459"/>
        <v>0</v>
      </c>
      <c r="N763" s="46">
        <f t="shared" si="459"/>
        <v>0</v>
      </c>
      <c r="O763" s="46">
        <f t="shared" si="454"/>
        <v>0</v>
      </c>
      <c r="P763" s="46">
        <f t="shared" si="455"/>
        <v>0</v>
      </c>
      <c r="Q763" s="46">
        <f t="shared" ca="1" si="460"/>
        <v>91360</v>
      </c>
      <c r="R763" s="46">
        <f t="shared" ca="1" si="460"/>
        <v>91360</v>
      </c>
      <c r="S763" s="46">
        <f t="shared" ca="1" si="460"/>
        <v>77420</v>
      </c>
      <c r="T763" s="46">
        <f t="shared" ca="1" si="457"/>
        <v>84.741681260945711</v>
      </c>
      <c r="U763" s="46">
        <f t="shared" ca="1" si="458"/>
        <v>84.741681260945711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1">L765+L766</f>
        <v>0</v>
      </c>
      <c r="M764" s="46">
        <f t="shared" si="461"/>
        <v>0</v>
      </c>
      <c r="N764" s="46">
        <f t="shared" si="461"/>
        <v>0</v>
      </c>
      <c r="O764" s="46">
        <f t="shared" si="454"/>
        <v>0</v>
      </c>
      <c r="P764" s="46">
        <f t="shared" si="455"/>
        <v>0</v>
      </c>
      <c r="Q764" s="46">
        <f t="shared" ref="Q764:S764" ca="1" si="462">Q765+Q766</f>
        <v>91360</v>
      </c>
      <c r="R764" s="46">
        <f t="shared" ca="1" si="462"/>
        <v>91360</v>
      </c>
      <c r="S764" s="46">
        <f t="shared" ca="1" si="462"/>
        <v>77420</v>
      </c>
      <c r="T764" s="46">
        <f t="shared" ca="1" si="457"/>
        <v>84.741681260945711</v>
      </c>
      <c r="U764" s="46">
        <f t="shared" ca="1" si="458"/>
        <v>84.741681260945711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4"/>
        <v>0</v>
      </c>
      <c r="P765" s="48">
        <f t="shared" si="455"/>
        <v>0</v>
      </c>
      <c r="Q765" s="48">
        <v>0</v>
      </c>
      <c r="R765" s="48">
        <v>0</v>
      </c>
      <c r="S765" s="48">
        <v>0</v>
      </c>
      <c r="T765" s="48">
        <f t="shared" si="457"/>
        <v>0</v>
      </c>
      <c r="U765" s="48">
        <f t="shared" si="458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4"/>
        <v>0</v>
      </c>
      <c r="P766" s="46">
        <f t="shared" si="455"/>
        <v>0</v>
      </c>
      <c r="Q766" s="46">
        <f ca="1">IFERROR(__xludf.DUMMYFUNCTION("IMPORTRANGE(""https://docs.google.com/spreadsheets/d/1ItG2mGa2ceCfYo0BwxsXqNm01IGEUdYcSSLTEv9YCik/edit?usp=sharing"",""เบิกจ่ายกองทุน!U80"")"),91360)</f>
        <v>91360</v>
      </c>
      <c r="R766" s="46">
        <f ca="1">IFERROR(__xludf.DUMMYFUNCTION("IMPORTRANGE(""https://docs.google.com/spreadsheets/d/1ItG2mGa2ceCfYo0BwxsXqNm01IGEUdYcSSLTEv9YCik/edit?usp=sharing"",""เบิกจ่ายกองทุน!V80"")"),91360)</f>
        <v>91360</v>
      </c>
      <c r="S766" s="46">
        <f ca="1">IFERROR(__xludf.DUMMYFUNCTION("IMPORTRANGE(""https://docs.google.com/spreadsheets/d/1ItG2mGa2ceCfYo0BwxsXqNm01IGEUdYcSSLTEv9YCik/edit?usp=sharing"",""เบิกจ่ายกองทุน!W80"")"),77420)</f>
        <v>77420</v>
      </c>
      <c r="T766" s="46">
        <f t="shared" ca="1" si="457"/>
        <v>84.741681260945711</v>
      </c>
      <c r="U766" s="46">
        <f t="shared" ca="1" si="458"/>
        <v>84.741681260945711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3">L768+L769</f>
        <v>0</v>
      </c>
      <c r="M767" s="46">
        <f t="shared" si="463"/>
        <v>0</v>
      </c>
      <c r="N767" s="46">
        <f t="shared" si="463"/>
        <v>0</v>
      </c>
      <c r="O767" s="46">
        <f t="shared" si="454"/>
        <v>0</v>
      </c>
      <c r="P767" s="46">
        <f t="shared" si="455"/>
        <v>0</v>
      </c>
      <c r="Q767" s="46">
        <f t="shared" ref="Q767:S767" si="464">Q768+Q769</f>
        <v>0</v>
      </c>
      <c r="R767" s="46">
        <f t="shared" si="464"/>
        <v>0</v>
      </c>
      <c r="S767" s="46">
        <f t="shared" si="464"/>
        <v>0</v>
      </c>
      <c r="T767" s="46">
        <f t="shared" si="457"/>
        <v>0</v>
      </c>
      <c r="U767" s="46">
        <f t="shared" si="458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4"/>
        <v>0</v>
      </c>
      <c r="P768" s="48">
        <f t="shared" si="455"/>
        <v>0</v>
      </c>
      <c r="Q768" s="48">
        <v>0</v>
      </c>
      <c r="R768" s="48">
        <v>0</v>
      </c>
      <c r="S768" s="48">
        <v>0</v>
      </c>
      <c r="T768" s="48">
        <f t="shared" si="457"/>
        <v>0</v>
      </c>
      <c r="U768" s="48">
        <f t="shared" si="458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4"/>
        <v>0</v>
      </c>
      <c r="P769" s="46">
        <f t="shared" si="455"/>
        <v>0</v>
      </c>
      <c r="Q769" s="46">
        <v>0</v>
      </c>
      <c r="R769" s="46">
        <v>0</v>
      </c>
      <c r="S769" s="46">
        <v>0</v>
      </c>
      <c r="T769" s="46">
        <f t="shared" si="457"/>
        <v>0</v>
      </c>
      <c r="U769" s="46">
        <f t="shared" si="458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IFERROR(__xludf.DUMMYFUNCTION("IMPORTRANGE(""https://docs.google.com/spreadsheets/d/1eHaY18a8A9IcSdp1K8H6x8fbOy06t2VsZHhMHf-1x7Y/edit?usp=sharing"",""แผน!FI80"")"),0)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IFERROR(__xludf.DUMMYFUNCTION("IMPORTRANGE(""https://docs.google.com/spreadsheets/d/1eHaY18a8A9IcSdp1K8H6x8fbOy06t2VsZHhMHf-1x7Y/edit?usp=sharing"",""แผน!FQ80"")"),10)</f>
        <v>10</v>
      </c>
      <c r="J773" s="168">
        <v>10</v>
      </c>
      <c r="K773" s="46">
        <f ca="1">IF(I773&gt;0,J773*100/I773,0)</f>
        <v>100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IFERROR(__xludf.DUMMYFUNCTION("IMPORTRANGE(""https://docs.google.com/spreadsheets/d/1eHaY18a8A9IcSdp1K8H6x8fbOy06t2VsZHhMHf-1x7Y/edit?usp=sharing"",""แผน!FR80"")"),20)</f>
        <v>20</v>
      </c>
      <c r="J775" s="168">
        <v>20</v>
      </c>
      <c r="K775" s="46">
        <f ca="1">IF(I775&gt;0,J775*100/I775,0)</f>
        <v>100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IFERROR(__xludf.DUMMYFUNCTION("IMPORTRANGE(""https://docs.google.com/spreadsheets/d/1eHaY18a8A9IcSdp1K8H6x8fbOy06t2VsZHhMHf-1x7Y/edit?usp=sharing"",""แผน!FS80"")"),20)</f>
        <v>20</v>
      </c>
      <c r="J776" s="168">
        <v>20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IFERROR(__xludf.DUMMYFUNCTION("IMPORTRANGE(""https://docs.google.com/spreadsheets/d/1eHaY18a8A9IcSdp1K8H6x8fbOy06t2VsZHhMHf-1x7Y/edit?usp=sharing"",""แผน!FT80"")"),10)</f>
        <v>10</v>
      </c>
      <c r="J777" s="360">
        <v>10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9" s="152">
        <f ca="1">IFERROR(__xludf.DUMMYFUNCTION("IMPORTRANGE(""https://docs.google.com/spreadsheets/d/10OvvATaaLtwErnr3qtWFcTmtbfpFEt5Bsqel9sXx0uE/edit?usp=sharing"",""งานกองทุน!F80"")"),53464.79)</f>
        <v>53464.79</v>
      </c>
      <c r="K779" s="46">
        <f t="shared" ref="K779:K786" ca="1" si="465">IF(I779&gt;0,J779*100/I779,0)</f>
        <v>10.991131798280188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IFERROR(__xludf.DUMMYFUNCTION("IMPORTRANGE(""https://docs.google.com/spreadsheets/d/10OvvATaaLtwErnr3qtWFcTmtbfpFEt5Bsqel9sXx0uE/edit?usp=sharing"",""งานกองทุน!C80"")"),35)</f>
        <v>35</v>
      </c>
      <c r="J780" s="152">
        <f ca="1">IFERROR(__xludf.DUMMYFUNCTION("IMPORTRANGE(""https://docs.google.com/spreadsheets/d/10OvvATaaLtwErnr3qtWFcTmtbfpFEt5Bsqel9sXx0uE/edit?usp=sharing"",""งานกองทุน!E80"")"),14)</f>
        <v>14</v>
      </c>
      <c r="K780" s="46">
        <f t="shared" ca="1" si="465"/>
        <v>40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1" s="152">
        <f ca="1">IFERROR(__xludf.DUMMYFUNCTION("IMPORTRANGE(""https://docs.google.com/spreadsheets/d/10OvvATaaLtwErnr3qtWFcTmtbfpFEt5Bsqel9sXx0uE/edit?usp=sharing"",""งานกองทุน!K80"")"),62809.97)</f>
        <v>62809.97</v>
      </c>
      <c r="K781" s="46">
        <f t="shared" ca="1" si="465"/>
        <v>3.493545403413691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IFERROR(__xludf.DUMMYFUNCTION("IMPORTRANGE(""https://docs.google.com/spreadsheets/d/10OvvATaaLtwErnr3qtWFcTmtbfpFEt5Bsqel9sXx0uE/edit?usp=sharing"",""งานกองทุน!H80"")"),124)</f>
        <v>124</v>
      </c>
      <c r="J782" s="152">
        <f ca="1">IFERROR(__xludf.DUMMYFUNCTION("IMPORTRANGE(""https://docs.google.com/spreadsheets/d/10OvvATaaLtwErnr3qtWFcTmtbfpFEt5Bsqel9sXx0uE/edit?usp=sharing"",""งานกองทุน!J80"")"),78)</f>
        <v>78</v>
      </c>
      <c r="K782" s="46">
        <f t="shared" ca="1" si="465"/>
        <v>62.903225806451616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3" s="152">
        <f ca="1">IFERROR(__xludf.DUMMYFUNCTION("IMPORTRANGE(""https://docs.google.com/spreadsheets/d/10OvvATaaLtwErnr3qtWFcTmtbfpFEt5Bsqel9sXx0uE/edit?usp=sharing"",""งานกองทุน!P80"")"),645.88)</f>
        <v>645.88</v>
      </c>
      <c r="K783" s="46">
        <f t="shared" ca="1" si="465"/>
        <v>2.211286985596232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IFERROR(__xludf.DUMMYFUNCTION("IMPORTRANGE(""https://docs.google.com/spreadsheets/d/10OvvATaaLtwErnr3qtWFcTmtbfpFEt5Bsqel9sXx0uE/edit?usp=sharing"",""งานกองทุน!M80"")"),87)</f>
        <v>87</v>
      </c>
      <c r="J784" s="152">
        <f ca="1">IFERROR(__xludf.DUMMYFUNCTION("IMPORTRANGE(""https://docs.google.com/spreadsheets/d/10OvvATaaLtwErnr3qtWFcTmtbfpFEt5Bsqel9sXx0uE/edit?usp=sharing"",""งานกองทุน!O80"")"),3)</f>
        <v>3</v>
      </c>
      <c r="K784" s="46">
        <f t="shared" ca="1" si="465"/>
        <v>3.4482758620689653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IFERROR(__xludf.DUMMYFUNCTION("IMPORTRANGE(""https://docs.google.com/spreadsheets/d/10OvvATaaLtwErnr3qtWFcTmtbfpFEt5Bsqel9sXx0uE/edit?usp=sharing"",""งานกองทุน!S80"")"),448000)</f>
        <v>448000</v>
      </c>
      <c r="J785" s="152">
        <f ca="1">IFERROR(__xludf.DUMMYFUNCTION("IMPORTRANGE(""https://docs.google.com/spreadsheets/d/10OvvATaaLtwErnr3qtWFcTmtbfpFEt5Bsqel9sXx0uE/edit?usp=sharing"",""งานกองทุน!U80"")"),134400)</f>
        <v>134400</v>
      </c>
      <c r="K785" s="46">
        <f t="shared" ca="1" si="465"/>
        <v>30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IFERROR(__xludf.DUMMYFUNCTION("IMPORTRANGE(""https://docs.google.com/spreadsheets/d/10OvvATaaLtwErnr3qtWFcTmtbfpFEt5Bsqel9sXx0uE/edit?usp=sharing"",""งานกองทุน!R80"")"),16)</f>
        <v>16</v>
      </c>
      <c r="J786" s="204">
        <f ca="1">IFERROR(__xludf.DUMMYFUNCTION("IMPORTRANGE(""https://docs.google.com/spreadsheets/d/10OvvATaaLtwErnr3qtWFcTmtbfpFEt5Bsqel9sXx0uE/edit?usp=sharing"",""งานกองทุน!T80"")"),3)</f>
        <v>3</v>
      </c>
      <c r="K786" s="110">
        <f t="shared" ca="1" si="465"/>
        <v>18.75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2" fitToHeight="0" orientation="portrait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AB0F7-A601-447F-9E1D-2AA861E96A0D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2.5703125" bestFit="1" customWidth="1"/>
    <col min="16" max="16" width="12" bestFit="1" customWidth="1"/>
    <col min="17" max="19" width="18.7109375" bestFit="1" customWidth="1"/>
    <col min="20" max="21" width="12.5703125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319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1425746</v>
      </c>
      <c r="M19" s="34">
        <f t="shared" ca="1" si="0"/>
        <v>1443670</v>
      </c>
      <c r="N19" s="34">
        <f t="shared" ca="1" si="0"/>
        <v>1076800.3700000001</v>
      </c>
      <c r="O19" s="34">
        <f t="shared" ref="O19:O27" ca="1" si="1">IF(L19&gt;0,N19*100/L19,0)</f>
        <v>75.525400036191584</v>
      </c>
      <c r="P19" s="34">
        <f t="shared" ref="P19:P27" ca="1" si="2">IF(M19&gt;0,N19*100/M19,0)</f>
        <v>74.587708409816656</v>
      </c>
      <c r="Q19" s="34">
        <f t="shared" ref="Q19:S19" ca="1" si="3">Q20+Q21</f>
        <v>942172.22</v>
      </c>
      <c r="R19" s="34">
        <f t="shared" ca="1" si="3"/>
        <v>892172</v>
      </c>
      <c r="S19" s="34">
        <f t="shared" ca="1" si="3"/>
        <v>135520</v>
      </c>
      <c r="T19" s="34">
        <f t="shared" ref="T19:T27" ca="1" si="4">IF(Q19&gt;0,S19*100/Q19,0)</f>
        <v>14.383782192177138</v>
      </c>
      <c r="U19" s="34">
        <f t="shared" ref="U19:U27" ca="1" si="5">IF(R19&gt;0,S19*100/R19,0)</f>
        <v>15.189896118685635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1425746</v>
      </c>
      <c r="M21" s="38">
        <f t="shared" ca="1" si="6"/>
        <v>1443670</v>
      </c>
      <c r="N21" s="38">
        <f t="shared" ca="1" si="6"/>
        <v>1076800.3700000001</v>
      </c>
      <c r="O21" s="38">
        <f t="shared" ca="1" si="1"/>
        <v>75.525400036191584</v>
      </c>
      <c r="P21" s="38">
        <f t="shared" ca="1" si="2"/>
        <v>74.587708409816656</v>
      </c>
      <c r="Q21" s="38">
        <f t="shared" ca="1" si="7"/>
        <v>942172.22</v>
      </c>
      <c r="R21" s="38">
        <f t="shared" ca="1" si="7"/>
        <v>892172</v>
      </c>
      <c r="S21" s="38">
        <f t="shared" ca="1" si="7"/>
        <v>135520</v>
      </c>
      <c r="T21" s="38">
        <f t="shared" ca="1" si="4"/>
        <v>14.383782192177138</v>
      </c>
      <c r="U21" s="38">
        <f t="shared" ca="1" si="5"/>
        <v>15.189896118685635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1425746</v>
      </c>
      <c r="M22" s="46">
        <f t="shared" ca="1" si="8"/>
        <v>1443670</v>
      </c>
      <c r="N22" s="46">
        <f t="shared" ca="1" si="8"/>
        <v>1076800.3700000001</v>
      </c>
      <c r="O22" s="46">
        <f t="shared" ca="1" si="1"/>
        <v>75.525400036191584</v>
      </c>
      <c r="P22" s="46">
        <f t="shared" ca="1" si="2"/>
        <v>74.587708409816656</v>
      </c>
      <c r="Q22" s="46">
        <f t="shared" ref="Q22:S22" ca="1" si="9">Q23+Q24</f>
        <v>942172.22</v>
      </c>
      <c r="R22" s="46">
        <f t="shared" ca="1" si="9"/>
        <v>892172</v>
      </c>
      <c r="S22" s="46">
        <f t="shared" ca="1" si="9"/>
        <v>135520</v>
      </c>
      <c r="T22" s="46">
        <f t="shared" ca="1" si="4"/>
        <v>14.383782192177138</v>
      </c>
      <c r="U22" s="46">
        <f t="shared" ca="1" si="5"/>
        <v>15.189896118685635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1425746</v>
      </c>
      <c r="M24" s="46">
        <f t="shared" ca="1" si="10"/>
        <v>1443670</v>
      </c>
      <c r="N24" s="46">
        <f t="shared" ca="1" si="10"/>
        <v>1076800.3700000001</v>
      </c>
      <c r="O24" s="46">
        <f t="shared" ca="1" si="1"/>
        <v>75.525400036191584</v>
      </c>
      <c r="P24" s="46">
        <f t="shared" ca="1" si="2"/>
        <v>74.587708409816656</v>
      </c>
      <c r="Q24" s="46">
        <f t="shared" ca="1" si="11"/>
        <v>942172.22</v>
      </c>
      <c r="R24" s="46">
        <f t="shared" ca="1" si="11"/>
        <v>892172</v>
      </c>
      <c r="S24" s="46">
        <f t="shared" ca="1" si="11"/>
        <v>135520</v>
      </c>
      <c r="T24" s="46">
        <f t="shared" ca="1" si="4"/>
        <v>14.383782192177138</v>
      </c>
      <c r="U24" s="46">
        <f t="shared" ca="1" si="5"/>
        <v>15.189896118685635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1425746</v>
      </c>
      <c r="M41" s="525">
        <f t="shared" ca="1" si="16"/>
        <v>1443670</v>
      </c>
      <c r="N41" s="525">
        <f t="shared" ca="1" si="16"/>
        <v>1076800.3700000001</v>
      </c>
      <c r="O41" s="525">
        <f ca="1">IF(L41&gt;0,N41*100/L41,0)</f>
        <v>75.525400036191584</v>
      </c>
      <c r="P41" s="525">
        <f ca="1">IF(M41&gt;0,N41*100/M41,0)</f>
        <v>74.587708409816656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133266</v>
      </c>
      <c r="M45" s="78">
        <f t="shared" ca="1" si="17"/>
        <v>140200</v>
      </c>
      <c r="N45" s="78">
        <f t="shared" ca="1" si="17"/>
        <v>119922.58</v>
      </c>
      <c r="O45" s="78">
        <f t="shared" ref="O45:O53" ca="1" si="18">IF(L45&gt;0,N45*100/L45,0)</f>
        <v>89.987378626206237</v>
      </c>
      <c r="P45" s="78">
        <f t="shared" ref="P45:P53" ca="1" si="19">IF(M45&gt;0,N45*100/M45,0)</f>
        <v>85.536790299572033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133266</v>
      </c>
      <c r="M47" s="82">
        <f t="shared" ca="1" si="23"/>
        <v>140200</v>
      </c>
      <c r="N47" s="82">
        <f t="shared" ca="1" si="23"/>
        <v>119922.58</v>
      </c>
      <c r="O47" s="82">
        <f t="shared" ca="1" si="18"/>
        <v>89.987378626206237</v>
      </c>
      <c r="P47" s="82">
        <f t="shared" ca="1" si="19"/>
        <v>85.536790299572033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133266</v>
      </c>
      <c r="M48" s="46">
        <f t="shared" ca="1" si="25"/>
        <v>140200</v>
      </c>
      <c r="N48" s="46">
        <f t="shared" ca="1" si="25"/>
        <v>119922.58</v>
      </c>
      <c r="O48" s="46">
        <f t="shared" ca="1" si="18"/>
        <v>89.987378626206237</v>
      </c>
      <c r="P48" s="46">
        <f t="shared" ca="1" si="19"/>
        <v>85.536790299572033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IFERROR(__xludf.DUMMYFUNCTION("IMPORTRANGE(""https://docs.google.com/spreadsheets/d/1-uDff_7J0KD5mKrp0Vvzr7lt3OU09vwQwhkpOPPYv2Y/edit?usp=sharing"",""งบพรบ!P81"")"),133266)</f>
        <v>133266</v>
      </c>
      <c r="M50" s="46">
        <f ca="1">IFERROR(__xludf.DUMMYFUNCTION("IMPORTRANGE(""https://docs.google.com/spreadsheets/d/1-uDff_7J0KD5mKrp0Vvzr7lt3OU09vwQwhkpOPPYv2Y/edit?usp=sharing"",""งบพรบ!V81"")"),140200)</f>
        <v>140200</v>
      </c>
      <c r="N50" s="46">
        <f ca="1">IFERROR(__xludf.DUMMYFUNCTION("IMPORTRANGE(""https://docs.google.com/spreadsheets/d/1-uDff_7J0KD5mKrp0Vvzr7lt3OU09vwQwhkpOPPYv2Y/edit?usp=sharing"",""งบพรบ!Y81"")"),119922.58)</f>
        <v>119922.58</v>
      </c>
      <c r="O50" s="46">
        <f t="shared" ca="1" si="18"/>
        <v>89.987378626206237</v>
      </c>
      <c r="P50" s="46">
        <f t="shared" ca="1" si="19"/>
        <v>85.536790299572033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IFERROR(__xludf.DUMMYFUNCTION("IMPORTRANGE(""https://docs.google.com/spreadsheets/d/1-uDff_7J0KD5mKrp0Vvzr7lt3OU09vwQwhkpOPPYv2Y/edit?usp=sharing"",""งบพรบ!S81"")"),0)</f>
        <v>0</v>
      </c>
      <c r="M53" s="46">
        <f ca="1">IFERROR(__xludf.DUMMYFUNCTION("IMPORTRANGE(""https://docs.google.com/spreadsheets/d/1-uDff_7J0KD5mKrp0Vvzr7lt3OU09vwQwhkpOPPYv2Y/edit?usp=sharing"",""งบพรบ!W81"")"),0)</f>
        <v>0</v>
      </c>
      <c r="N53" s="46">
        <f ca="1">IFERROR(__xludf.DUMMYFUNCTION("IMPORTRANGE(""https://docs.google.com/spreadsheets/d/1-uDff_7J0KD5mKrp0Vvzr7lt3OU09vwQwhkpOPPYv2Y/edit?usp=sharing"",""งบพรบ!Z81"")"),0)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621300</v>
      </c>
      <c r="M60" s="105">
        <f t="shared" ca="1" si="29"/>
        <v>621300</v>
      </c>
      <c r="N60" s="105">
        <f t="shared" ca="1" si="29"/>
        <v>566597.81000000006</v>
      </c>
      <c r="O60" s="105">
        <f t="shared" ref="O60:O68" ca="1" si="30">IF(L60&gt;0,N60*100/L60,0)</f>
        <v>91.195527120553692</v>
      </c>
      <c r="P60" s="105">
        <f t="shared" ref="P60:P68" ca="1" si="31">IF(M60&gt;0,N60*100/M60,0)</f>
        <v>91.195527120553692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621300</v>
      </c>
      <c r="M62" s="108">
        <f t="shared" ca="1" si="35"/>
        <v>621300</v>
      </c>
      <c r="N62" s="108">
        <f t="shared" ca="1" si="35"/>
        <v>566597.81000000006</v>
      </c>
      <c r="O62" s="108">
        <f t="shared" ca="1" si="30"/>
        <v>91.195527120553692</v>
      </c>
      <c r="P62" s="108">
        <f t="shared" ca="1" si="31"/>
        <v>91.195527120553692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621300</v>
      </c>
      <c r="M63" s="46">
        <f t="shared" ca="1" si="37"/>
        <v>621300</v>
      </c>
      <c r="N63" s="46">
        <f t="shared" ca="1" si="37"/>
        <v>566597.81000000006</v>
      </c>
      <c r="O63" s="46">
        <f t="shared" ca="1" si="30"/>
        <v>91.195527120553692</v>
      </c>
      <c r="P63" s="46">
        <f t="shared" ca="1" si="31"/>
        <v>91.195527120553692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IFERROR(__xludf.DUMMYFUNCTION("IMPORTRANGE(""https://docs.google.com/spreadsheets/d/1-uDff_7J0KD5mKrp0Vvzr7lt3OU09vwQwhkpOPPYv2Y/edit?usp=sharing"",""งบพรบ!AC81"")"),621300)</f>
        <v>621300</v>
      </c>
      <c r="M65" s="46">
        <f ca="1">IFERROR(__xludf.DUMMYFUNCTION("IMPORTRANGE(""https://docs.google.com/spreadsheets/d/1-uDff_7J0KD5mKrp0Vvzr7lt3OU09vwQwhkpOPPYv2Y/edit?usp=sharing"",""งบพรบ!AH81"")"),621300)</f>
        <v>621300</v>
      </c>
      <c r="N65" s="46">
        <f ca="1">IFERROR(__xludf.DUMMYFUNCTION("IMPORTRANGE(""https://docs.google.com/spreadsheets/d/1-uDff_7J0KD5mKrp0Vvzr7lt3OU09vwQwhkpOPPYv2Y/edit?usp=sharing"",""งบพรบ!AJ81"")"),566597.81)</f>
        <v>566597.81000000006</v>
      </c>
      <c r="O65" s="46">
        <f t="shared" ca="1" si="30"/>
        <v>91.195527120553692</v>
      </c>
      <c r="P65" s="46">
        <f t="shared" ca="1" si="31"/>
        <v>91.195527120553692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IFERROR(__xludf.DUMMYFUNCTION("IMPORTRANGE(""https://docs.google.com/spreadsheets/d/1-uDff_7J0KD5mKrp0Vvzr7lt3OU09vwQwhkpOPPYv2Y/edit?usp=sharing"",""งบพรบ!AF81"")"),0)</f>
        <v>0</v>
      </c>
      <c r="M68" s="110">
        <f ca="1">IFERROR(__xludf.DUMMYFUNCTION("IMPORTRANGE(""https://docs.google.com/spreadsheets/d/1-uDff_7J0KD5mKrp0Vvzr7lt3OU09vwQwhkpOPPYv2Y/edit?usp=sharing"",""งบพรบ!AI81"")"),0)</f>
        <v>0</v>
      </c>
      <c r="N68" s="110">
        <f ca="1">IFERROR(__xludf.DUMMYFUNCTION("IMPORTRANGE(""https://docs.google.com/spreadsheets/d/1-uDff_7J0KD5mKrp0Vvzr7lt3OU09vwQwhkpOPPYv2Y/edit?usp=sharing"",""งบพรบ!AK81"")"),0)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0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hidden="1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0</v>
      </c>
      <c r="M73" s="132">
        <f t="shared" ca="1" si="43"/>
        <v>0</v>
      </c>
      <c r="N73" s="132">
        <f t="shared" ca="1" si="43"/>
        <v>0</v>
      </c>
      <c r="O73" s="132">
        <f t="shared" ref="O73:O81" ca="1" si="44">IF(L73&gt;0,N73*100/L73,0)</f>
        <v>0</v>
      </c>
      <c r="P73" s="132">
        <f t="shared" ref="P73:P81" ca="1" si="45">IF(M73&gt;0,N73*100/M73,0)</f>
        <v>0</v>
      </c>
      <c r="Q73" s="132">
        <f t="shared" ref="Q73:S73" ca="1" si="46">Q74+Q75</f>
        <v>0</v>
      </c>
      <c r="R73" s="132">
        <f t="shared" ca="1" si="46"/>
        <v>0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0</v>
      </c>
      <c r="M75" s="46">
        <f t="shared" ca="1" si="49"/>
        <v>0</v>
      </c>
      <c r="N75" s="46">
        <f t="shared" ca="1" si="49"/>
        <v>0</v>
      </c>
      <c r="O75" s="46">
        <f t="shared" ca="1" si="44"/>
        <v>0</v>
      </c>
      <c r="P75" s="46">
        <f t="shared" ca="1" si="45"/>
        <v>0</v>
      </c>
      <c r="Q75" s="46">
        <f t="shared" ca="1" si="50"/>
        <v>0</v>
      </c>
      <c r="R75" s="46">
        <f t="shared" ca="1" si="50"/>
        <v>0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hidden="1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0</v>
      </c>
      <c r="M76" s="46">
        <f t="shared" ca="1" si="51"/>
        <v>0</v>
      </c>
      <c r="N76" s="46">
        <f t="shared" ca="1" si="51"/>
        <v>0</v>
      </c>
      <c r="O76" s="46">
        <f t="shared" ca="1" si="44"/>
        <v>0</v>
      </c>
      <c r="P76" s="46">
        <f t="shared" ca="1" si="45"/>
        <v>0</v>
      </c>
      <c r="Q76" s="46">
        <f t="shared" ref="Q76:S76" ca="1" si="52">Q77+Q78</f>
        <v>0</v>
      </c>
      <c r="R76" s="46">
        <f t="shared" ca="1" si="52"/>
        <v>0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IFERROR(__xludf.DUMMYFUNCTION("IMPORTRANGE(""https://docs.google.com/spreadsheets/d/1-uDff_7J0KD5mKrp0Vvzr7lt3OU09vwQwhkpOPPYv2Y/edit?usp=sharing"",""งบพรบ!AM81"")"),0)</f>
        <v>0</v>
      </c>
      <c r="M78" s="46">
        <f ca="1">IFERROR(__xludf.DUMMYFUNCTION("IMPORTRANGE(""https://docs.google.com/spreadsheets/d/1-uDff_7J0KD5mKrp0Vvzr7lt3OU09vwQwhkpOPPYv2Y/edit?usp=sharing"",""งบพรบ!AR81"")"),0)</f>
        <v>0</v>
      </c>
      <c r="N78" s="46">
        <f ca="1">IFERROR(__xludf.DUMMYFUNCTION("IMPORTRANGE(""https://docs.google.com/spreadsheets/d/1-uDff_7J0KD5mKrp0Vvzr7lt3OU09vwQwhkpOPPYv2Y/edit?usp=sharing"",""งบพรบ!AT81"")"),0)</f>
        <v>0</v>
      </c>
      <c r="O78" s="46">
        <f t="shared" ca="1" si="44"/>
        <v>0</v>
      </c>
      <c r="P78" s="46">
        <f t="shared" ca="1" si="45"/>
        <v>0</v>
      </c>
      <c r="Q78" s="46">
        <f ca="1">IFERROR(__xludf.DUMMYFUNCTION("IMPORTRANGE(""https://docs.google.com/spreadsheets/d/1ItG2mGa2ceCfYo0BwxsXqNm01IGEUdYcSSLTEv9YCik/edit?usp=sharing"",""เบิกจ่ายกองทุน!AS81"")"),0)</f>
        <v>0</v>
      </c>
      <c r="R78" s="46">
        <f ca="1">IFERROR(__xludf.DUMMYFUNCTION("IMPORTRANGE(""https://docs.google.com/spreadsheets/d/1ItG2mGa2ceCfYo0BwxsXqNm01IGEUdYcSSLTEv9YCik/edit?usp=sharing"",""เบิกจ่ายกองทุน!AT81"")"),0)</f>
        <v>0</v>
      </c>
      <c r="S78" s="46">
        <f ca="1">IFERROR(__xludf.DUMMYFUNCTION("IMPORTRANGE(""https://docs.google.com/spreadsheets/d/1ItG2mGa2ceCfYo0BwxsXqNm01IGEUdYcSSLTEv9YCik/edit?usp=sharing"",""เบิกจ่ายกองทุน!AU81"")"),0)</f>
        <v>0</v>
      </c>
      <c r="T78" s="46">
        <f t="shared" ca="1" si="47"/>
        <v>0</v>
      </c>
      <c r="U78" s="46">
        <f t="shared" ca="1" si="48"/>
        <v>0</v>
      </c>
    </row>
    <row r="79" spans="1:21" ht="18.75" hidden="1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IFERROR(__xludf.DUMMYFUNCTION("IMPORTRANGE(""https://docs.google.com/spreadsheets/d/1-uDff_7J0KD5mKrp0Vvzr7lt3OU09vwQwhkpOPPYv2Y/edit?usp=sharing"",""งบพรบ!AP81"")"),0)</f>
        <v>0</v>
      </c>
      <c r="M81" s="46">
        <f ca="1">IFERROR(__xludf.DUMMYFUNCTION("IMPORTRANGE(""https://docs.google.com/spreadsheets/d/1-uDff_7J0KD5mKrp0Vvzr7lt3OU09vwQwhkpOPPYv2Y/edit?usp=sharing"",""งบพรบ!AS81"")"),0)</f>
        <v>0</v>
      </c>
      <c r="N81" s="46">
        <f ca="1">IFERROR(__xludf.DUMMYFUNCTION("IMPORTRANGE(""https://docs.google.com/spreadsheets/d/1-uDff_7J0KD5mKrp0Vvzr7lt3OU09vwQwhkpOPPYv2Y/edit?usp=sharing"",""งบพรบ!AU81"")"),0)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hidden="1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0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IFERROR(__xludf.DUMMYFUNCTION("IMPORTRANGE(""https://docs.google.com/spreadsheets/d/1eHaY18a8A9IcSdp1K8H6x8fbOy06t2VsZHhMHf-1x7Y/edit?usp=sharing"",""แผน!H81"")"),0)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IFERROR(__xludf.DUMMYFUNCTION("IMPORTRANGE(""https://docs.google.com/spreadsheets/d/1eHaY18a8A9IcSdp1K8H6x8fbOy06t2VsZHhMHf-1x7Y/edit?usp=sharing"",""แผน!I81"")"),0)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IFERROR(__xludf.DUMMYFUNCTION("IMPORTRANGE(""https://docs.google.com/spreadsheets/d/1eHaY18a8A9IcSdp1K8H6x8fbOy06t2VsZHhMHf-1x7Y/edit?usp=sharing"",""แผน!F81"")"),0)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IFERROR(__xludf.DUMMYFUNCTION("IMPORTRANGE(""https://docs.google.com/spreadsheets/d/1eHaY18a8A9IcSdp1K8H6x8fbOy06t2VsZHhMHf-1x7Y/edit?usp=sharing"",""แผน!G81"")"),0)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IFERROR(__xludf.DUMMYFUNCTION("IMPORTRANGE(""https://docs.google.com/spreadsheets/d/1eHaY18a8A9IcSdp1K8H6x8fbOy06t2VsZHhMHf-1x7Y/edit?usp=sharing"",""แผน!D81"")"),0)</f>
        <v>0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IFERROR(__xludf.DUMMYFUNCTION("IMPORTRANGE(""https://docs.google.com/spreadsheets/d/1eHaY18a8A9IcSdp1K8H6x8fbOy06t2VsZHhMHf-1x7Y/edit?usp=sharing"",""แผน!E81"")"),0)</f>
        <v>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IFERROR(__xludf.DUMMYFUNCTION("IMPORTRANGE(""https://docs.google.com/spreadsheets/d/1eHaY18a8A9IcSdp1K8H6x8fbOy06t2VsZHhMHf-1x7Y/edit?usp=sharing"",""แผน!J81"")"),0)</f>
        <v>0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30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10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84420</v>
      </c>
      <c r="R95" s="132">
        <f t="shared" ca="1" si="62"/>
        <v>84420</v>
      </c>
      <c r="S95" s="132">
        <f t="shared" ca="1" si="62"/>
        <v>0</v>
      </c>
      <c r="T95" s="132">
        <f t="shared" ref="T95:T103" ca="1" si="63">IF(Q95&gt;0,S95*100/Q95,0)</f>
        <v>0</v>
      </c>
      <c r="U95" s="132">
        <f t="shared" ref="U95:U103" ca="1" si="64">IF(R95&gt;0,S95*100/R95,0)</f>
        <v>0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84420</v>
      </c>
      <c r="R97" s="46">
        <f t="shared" ca="1" si="66"/>
        <v>84420</v>
      </c>
      <c r="S97" s="46">
        <f t="shared" ca="1" si="66"/>
        <v>0</v>
      </c>
      <c r="T97" s="46">
        <f t="shared" ca="1" si="63"/>
        <v>0</v>
      </c>
      <c r="U97" s="46">
        <f t="shared" ca="1" si="64"/>
        <v>0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84420</v>
      </c>
      <c r="R98" s="46">
        <f t="shared" ca="1" si="68"/>
        <v>84420</v>
      </c>
      <c r="S98" s="46">
        <f t="shared" ca="1" si="68"/>
        <v>0</v>
      </c>
      <c r="T98" s="46">
        <f t="shared" ca="1" si="63"/>
        <v>0</v>
      </c>
      <c r="U98" s="46">
        <f t="shared" ca="1" si="64"/>
        <v>0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IFERROR(__xludf.DUMMYFUNCTION("IMPORTRANGE(""https://docs.google.com/spreadsheets/d/1-uDff_7J0KD5mKrp0Vvzr7lt3OU09vwQwhkpOPPYv2Y/edit?usp=sharing"",""งบพรบ!AW81"")"),0)</f>
        <v>0</v>
      </c>
      <c r="M100" s="46">
        <f ca="1">IFERROR(__xludf.DUMMYFUNCTION("IMPORTRANGE(""https://docs.google.com/spreadsheets/d/1-uDff_7J0KD5mKrp0Vvzr7lt3OU09vwQwhkpOPPYv2Y/edit?usp=sharing"",""งบพรบ!BB81"")"),0)</f>
        <v>0</v>
      </c>
      <c r="N100" s="46">
        <f ca="1">IFERROR(__xludf.DUMMYFUNCTION("IMPORTRANGE(""https://docs.google.com/spreadsheets/d/1-uDff_7J0KD5mKrp0Vvzr7lt3OU09vwQwhkpOPPYv2Y/edit?usp=sharing"",""งบพรบ!BD81"")"),0)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IFERROR(__xludf.DUMMYFUNCTION("IMPORTRANGE(""https://docs.google.com/spreadsheets/d/1ItG2mGa2ceCfYo0BwxsXqNm01IGEUdYcSSLTEv9YCik/edit?usp=sharing"",""เบิกจ่ายกองทุน!AD81"")"),84420)</f>
        <v>84420</v>
      </c>
      <c r="R100" s="46">
        <f ca="1">IFERROR(__xludf.DUMMYFUNCTION("IMPORTRANGE(""https://docs.google.com/spreadsheets/d/1ItG2mGa2ceCfYo0BwxsXqNm01IGEUdYcSSLTEv9YCik/edit?usp=sharing"",""เบิกจ่ายกองทุน!AE81"")"),84420)</f>
        <v>84420</v>
      </c>
      <c r="S100" s="46">
        <f ca="1">IFERROR(__xludf.DUMMYFUNCTION("IMPORTRANGE(""https://docs.google.com/spreadsheets/d/1ItG2mGa2ceCfYo0BwxsXqNm01IGEUdYcSSLTEv9YCik/edit?usp=sharing"",""เบิกจ่ายกองทุน!AF81"")"),0)</f>
        <v>0</v>
      </c>
      <c r="T100" s="46">
        <f t="shared" ca="1" si="63"/>
        <v>0</v>
      </c>
      <c r="U100" s="46">
        <f t="shared" ca="1" si="64"/>
        <v>0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IFERROR(__xludf.DUMMYFUNCTION("IMPORTRANGE(""https://docs.google.com/spreadsheets/d/1-uDff_7J0KD5mKrp0Vvzr7lt3OU09vwQwhkpOPPYv2Y/edit?usp=sharing"",""งบพรบ!AZ81"")"),0)</f>
        <v>0</v>
      </c>
      <c r="M103" s="46">
        <f ca="1">IFERROR(__xludf.DUMMYFUNCTION("IMPORTRANGE(""https://docs.google.com/spreadsheets/d/1-uDff_7J0KD5mKrp0Vvzr7lt3OU09vwQwhkpOPPYv2Y/edit?usp=sharing"",""งบพรบ!BC81"")"),0)</f>
        <v>0</v>
      </c>
      <c r="N103" s="46">
        <f ca="1">IFERROR(__xludf.DUMMYFUNCTION("IMPORTRANGE(""https://docs.google.com/spreadsheets/d/1-uDff_7J0KD5mKrp0Vvzr7lt3OU09vwQwhkpOPPYv2Y/edit?usp=sharing"",""งบพรบ!BE81"")"),0)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IFERROR(__xludf.DUMMYFUNCTION("IMPORTRANGE(""https://docs.google.com/spreadsheets/d/1eHaY18a8A9IcSdp1K8H6x8fbOy06t2VsZHhMHf-1x7Y/edit?usp=sharing"",""แผน!N81"")"),30)</f>
        <v>30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IFERROR(__xludf.DUMMYFUNCTION("IMPORTRANGE(""https://docs.google.com/spreadsheets/d/1eHaY18a8A9IcSdp1K8H6x8fbOy06t2VsZHhMHf-1x7Y/edit?usp=sharing"",""แผน!O81"")"),10)</f>
        <v>10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IFERROR(__xludf.DUMMYFUNCTION("IMPORTRANGE(""https://docs.google.com/spreadsheets/d/1eHaY18a8A9IcSdp1K8H6x8fbOy06t2VsZHhMHf-1x7Y/edit?usp=sharing"",""แผน!N81"")"),30)</f>
        <v>30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IFERROR(__xludf.DUMMYFUNCTION("IMPORTRANGE(""https://docs.google.com/spreadsheets/d/1eHaY18a8A9IcSdp1K8H6x8fbOy06t2VsZHhMHf-1x7Y/edit?usp=sharing"",""แผน!O81"")"),10)</f>
        <v>10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15</v>
      </c>
      <c r="J117" s="127">
        <f t="shared" si="73"/>
        <v>0</v>
      </c>
      <c r="K117" s="34">
        <f ca="1">IF(I117&gt;0,J117*100/I117,0)</f>
        <v>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191460</v>
      </c>
      <c r="R118" s="132">
        <f t="shared" ca="1" si="77"/>
        <v>191460</v>
      </c>
      <c r="S118" s="132">
        <f t="shared" ca="1" si="77"/>
        <v>80090</v>
      </c>
      <c r="T118" s="132">
        <f t="shared" ref="T118:T126" ca="1" si="78">IF(Q118&gt;0,S118*100/Q118,0)</f>
        <v>41.831191893868173</v>
      </c>
      <c r="U118" s="132">
        <f t="shared" ref="U118:U126" ca="1" si="79">IF(R118&gt;0,S118*100/R118,0)</f>
        <v>41.831191893868173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191460</v>
      </c>
      <c r="R120" s="46">
        <f t="shared" ca="1" si="81"/>
        <v>191460</v>
      </c>
      <c r="S120" s="46">
        <f t="shared" ca="1" si="81"/>
        <v>80090</v>
      </c>
      <c r="T120" s="46">
        <f t="shared" ca="1" si="78"/>
        <v>41.831191893868173</v>
      </c>
      <c r="U120" s="46">
        <f t="shared" ca="1" si="79"/>
        <v>41.831191893868173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191460</v>
      </c>
      <c r="R121" s="46">
        <f t="shared" ca="1" si="83"/>
        <v>191460</v>
      </c>
      <c r="S121" s="46">
        <f t="shared" ca="1" si="83"/>
        <v>80090</v>
      </c>
      <c r="T121" s="46">
        <f t="shared" ca="1" si="78"/>
        <v>41.831191893868173</v>
      </c>
      <c r="U121" s="46">
        <f t="shared" ca="1" si="79"/>
        <v>41.831191893868173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IFERROR(__xludf.DUMMYFUNCTION("IMPORTRANGE(""https://docs.google.com/spreadsheets/d/1-uDff_7J0KD5mKrp0Vvzr7lt3OU09vwQwhkpOPPYv2Y/edit?usp=sharing"",""งบพรบ!BG81"")"),0)</f>
        <v>0</v>
      </c>
      <c r="M123" s="46">
        <f ca="1">IFERROR(__xludf.DUMMYFUNCTION("IMPORTRANGE(""https://docs.google.com/spreadsheets/d/1-uDff_7J0KD5mKrp0Vvzr7lt3OU09vwQwhkpOPPYv2Y/edit?usp=sharing"",""งบพรบ!BL81"")"),0)</f>
        <v>0</v>
      </c>
      <c r="N123" s="46">
        <f ca="1">IFERROR(__xludf.DUMMYFUNCTION("IMPORTRANGE(""https://docs.google.com/spreadsheets/d/1-uDff_7J0KD5mKrp0Vvzr7lt3OU09vwQwhkpOPPYv2Y/edit?usp=sharing"",""งบพรบ!BN81"")"),0)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IFERROR(__xludf.DUMMYFUNCTION("IMPORTRANGE(""https://docs.google.com/spreadsheets/d/1ItG2mGa2ceCfYo0BwxsXqNm01IGEUdYcSSLTEv9YCik/edit?usp=sharing"",""เบิกจ่ายกองทุน!R81"")"),191460)</f>
        <v>191460</v>
      </c>
      <c r="R123" s="46">
        <f ca="1">IFERROR(__xludf.DUMMYFUNCTION("IMPORTRANGE(""https://docs.google.com/spreadsheets/d/1ItG2mGa2ceCfYo0BwxsXqNm01IGEUdYcSSLTEv9YCik/edit?usp=sharing"",""เบิกจ่ายกองทุน!S81"")"),191460)</f>
        <v>191460</v>
      </c>
      <c r="S123" s="46">
        <f ca="1">IFERROR(__xludf.DUMMYFUNCTION("IMPORTRANGE(""https://docs.google.com/spreadsheets/d/1ItG2mGa2ceCfYo0BwxsXqNm01IGEUdYcSSLTEv9YCik/edit?usp=sharing"",""เบิกจ่ายกองทุน!T81"")"),80090)</f>
        <v>80090</v>
      </c>
      <c r="T123" s="46">
        <f t="shared" ca="1" si="78"/>
        <v>41.831191893868173</v>
      </c>
      <c r="U123" s="46">
        <f t="shared" ca="1" si="79"/>
        <v>41.831191893868173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IFERROR(__xludf.DUMMYFUNCTION("IMPORTRANGE(""https://docs.google.com/spreadsheets/d/1-uDff_7J0KD5mKrp0Vvzr7lt3OU09vwQwhkpOPPYv2Y/edit?usp=sharing"",""งบพรบ!BJ81"")"),0)</f>
        <v>0</v>
      </c>
      <c r="M126" s="46">
        <f ca="1">IFERROR(__xludf.DUMMYFUNCTION("IMPORTRANGE(""https://docs.google.com/spreadsheets/d/1-uDff_7J0KD5mKrp0Vvzr7lt3OU09vwQwhkpOPPYv2Y/edit?usp=sharing"",""งบพรบ!BM81"")"),0)</f>
        <v>0</v>
      </c>
      <c r="N126" s="46">
        <f ca="1">IFERROR(__xludf.DUMMYFUNCTION("IMPORTRANGE(""https://docs.google.com/spreadsheets/d/1-uDff_7J0KD5mKrp0Vvzr7lt3OU09vwQwhkpOPPYv2Y/edit?usp=sharing"",""งบพรบ!BO81"")"),0)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IFERROR(__xludf.DUMMYFUNCTION("IMPORTRANGE(""https://docs.google.com/spreadsheets/d/1eHaY18a8A9IcSdp1K8H6x8fbOy06t2VsZHhMHf-1x7Y/edit?usp=sharing"",""แผน!FF81"")"),15)</f>
        <v>15</v>
      </c>
      <c r="J128" s="168">
        <v>0</v>
      </c>
      <c r="K128" s="46">
        <f t="shared" ref="K128:K131" ca="1" si="86">IF(I128&gt;0,J128*100/I128,0)</f>
        <v>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IFERROR(__xludf.DUMMYFUNCTION("IMPORTRANGE(""https://docs.google.com/spreadsheets/d/1eHaY18a8A9IcSdp1K8H6x8fbOy06t2VsZHhMHf-1x7Y/edit?usp=sharing"",""แผน!FG81"")"),0)</f>
        <v>0</v>
      </c>
      <c r="J129" s="168">
        <v>0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IFERROR(__xludf.DUMMYFUNCTION("IMPORTRANGE(""https://docs.google.com/spreadsheets/d/1eHaY18a8A9IcSdp1K8H6x8fbOy06t2VsZHhMHf-1x7Y/edit?usp=sharing"",""แผน!FH81"")"),15)</f>
        <v>15</v>
      </c>
      <c r="J130" s="168">
        <v>0</v>
      </c>
      <c r="K130" s="46">
        <f t="shared" ca="1" si="86"/>
        <v>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IFERROR(__xludf.DUMMYFUNCTION("IMPORTRANGE(""https://docs.google.com/spreadsheets/d/1eHaY18a8A9IcSdp1K8H6x8fbOy06t2VsZHhMHf-1x7Y/edit?usp=sharing"",""แผน!FI81"")"),0)</f>
        <v>0</v>
      </c>
      <c r="J131" s="168">
        <v>0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hidden="1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0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0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hidden="1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0</v>
      </c>
      <c r="M140" s="132">
        <f t="shared" ca="1" si="90"/>
        <v>0</v>
      </c>
      <c r="N140" s="132">
        <f t="shared" ca="1" si="90"/>
        <v>0</v>
      </c>
      <c r="O140" s="132">
        <f t="shared" ref="O140:O148" ca="1" si="91">IF(L140&gt;0,N140*100/L140,0)</f>
        <v>0</v>
      </c>
      <c r="P140" s="132">
        <f t="shared" ref="P140:P148" ca="1" si="92">IF(M140&gt;0,N140*100/M140,0)</f>
        <v>0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0</v>
      </c>
      <c r="M142" s="46">
        <f t="shared" ca="1" si="96"/>
        <v>0</v>
      </c>
      <c r="N142" s="46">
        <f t="shared" ca="1" si="96"/>
        <v>0</v>
      </c>
      <c r="O142" s="46">
        <f t="shared" ca="1" si="91"/>
        <v>0</v>
      </c>
      <c r="P142" s="46">
        <f t="shared" ca="1" si="92"/>
        <v>0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hidden="1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0</v>
      </c>
      <c r="M143" s="46">
        <f t="shared" ca="1" si="98"/>
        <v>0</v>
      </c>
      <c r="N143" s="46">
        <f t="shared" ca="1" si="98"/>
        <v>0</v>
      </c>
      <c r="O143" s="46">
        <f t="shared" ca="1" si="91"/>
        <v>0</v>
      </c>
      <c r="P143" s="46">
        <f t="shared" ca="1" si="92"/>
        <v>0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IFERROR(__xludf.DUMMYFUNCTION("IMPORTRANGE(""https://docs.google.com/spreadsheets/d/1-uDff_7J0KD5mKrp0Vvzr7lt3OU09vwQwhkpOPPYv2Y/edit?usp=sharing"",""งบพรบ!BQ81"")"),0)</f>
        <v>0</v>
      </c>
      <c r="M145" s="46">
        <f ca="1">IFERROR(__xludf.DUMMYFUNCTION("IMPORTRANGE(""https://docs.google.com/spreadsheets/d/1-uDff_7J0KD5mKrp0Vvzr7lt3OU09vwQwhkpOPPYv2Y/edit?usp=sharing"",""งบพรบ!BV81"")"),0)</f>
        <v>0</v>
      </c>
      <c r="N145" s="46">
        <f ca="1">IFERROR(__xludf.DUMMYFUNCTION("IMPORTRANGE(""https://docs.google.com/spreadsheets/d/1-uDff_7J0KD5mKrp0Vvzr7lt3OU09vwQwhkpOPPYv2Y/edit?usp=sharing"",""งบพรบ!BX81"")"),0)</f>
        <v>0</v>
      </c>
      <c r="O145" s="46">
        <f t="shared" ca="1" si="91"/>
        <v>0</v>
      </c>
      <c r="P145" s="46">
        <f t="shared" ca="1" si="92"/>
        <v>0</v>
      </c>
      <c r="Q145" s="46">
        <f ca="1">IFERROR(__xludf.DUMMYFUNCTION("IMPORTRANGE(""https://docs.google.com/spreadsheets/d/1ItG2mGa2ceCfYo0BwxsXqNm01IGEUdYcSSLTEv9YCik/edit?usp=sharing"",""เบิกจ่ายกองทุน!BB81"")"),0)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IFERROR(__xludf.DUMMYFUNCTION("IMPORTRANGE(""https://docs.google.com/spreadsheets/d/1ItG2mGa2ceCfYo0BwxsXqNm01IGEUdYcSSLTEv9YCik/edit?usp=sharing"",""เบิกจ่ายกองทุน!BC81"")"),0)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IFERROR(__xludf.DUMMYFUNCTION("IMPORTRANGE(""https://docs.google.com/spreadsheets/d/1ItG2mGa2ceCfYo0BwxsXqNm01IGEUdYcSSLTEv9YCik/edit?usp=sharing"",""เบิกจ่ายกองทุน!BD81"")"),0)</f>
        <v>0</v>
      </c>
      <c r="T145" s="46">
        <f t="shared" ca="1" si="94"/>
        <v>0</v>
      </c>
      <c r="U145" s="46">
        <f t="shared" ca="1" si="95"/>
        <v>0</v>
      </c>
    </row>
    <row r="146" spans="1:21" ht="18.75" hidden="1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IFERROR(__xludf.DUMMYFUNCTION("IMPORTRANGE(""https://docs.google.com/spreadsheets/d/1-uDff_7J0KD5mKrp0Vvzr7lt3OU09vwQwhkpOPPYv2Y/edit?usp=sharing"",""งบพรบ!BT81"")"),0)</f>
        <v>0</v>
      </c>
      <c r="M148" s="46">
        <f ca="1">IFERROR(__xludf.DUMMYFUNCTION("IMPORTRANGE(""https://docs.google.com/spreadsheets/d/1-uDff_7J0KD5mKrp0Vvzr7lt3OU09vwQwhkpOPPYv2Y/edit?usp=sharing"",""งบพรบ!BW81"")"),0)</f>
        <v>0</v>
      </c>
      <c r="N148" s="46">
        <f ca="1">IFERROR(__xludf.DUMMYFUNCTION("IMPORTRANGE(""https://docs.google.com/spreadsheets/d/1-uDff_7J0KD5mKrp0Vvzr7lt3OU09vwQwhkpOPPYv2Y/edit?usp=sharing"",""งบพรบ!BY81"")"),0)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hidden="1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hidden="1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hidden="1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IFERROR(__xludf.DUMMYFUNCTION("IMPORTRANGE(""https://docs.google.com/spreadsheets/d/1eHaY18a8A9IcSdp1K8H6x8fbOy06t2VsZHhMHf-1x7Y/edit?usp=sharing"",""แผน!U81"")"),0)</f>
        <v>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hidden="1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IFERROR(__xludf.DUMMYFUNCTION("IMPORTRANGE(""https://docs.google.com/spreadsheets/d/1eHaY18a8A9IcSdp1K8H6x8fbOy06t2VsZHhMHf-1x7Y/edit?usp=sharing"",""แผน!V81"")"),0)</f>
        <v>0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hidden="1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IFERROR(__xludf.DUMMYFUNCTION("IMPORTRANGE(""https://docs.google.com/spreadsheets/d/1eHaY18a8A9IcSdp1K8H6x8fbOy06t2VsZHhMHf-1x7Y/edit?usp=sharing"",""แผน!W81"")"),0)</f>
        <v>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IFERROR(__xludf.DUMMYFUNCTION("IMPORTRANGE(""https://docs.google.com/spreadsheets/d/1eHaY18a8A9IcSdp1K8H6x8fbOy06t2VsZHhMHf-1x7Y/edit?usp=sharing"",""แผน!X81"")"),0)</f>
        <v>0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hidden="1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IFERROR(__xludf.DUMMYFUNCTION("IMPORTRANGE(""https://docs.google.com/spreadsheets/d/1eHaY18a8A9IcSdp1K8H6x8fbOy06t2VsZHhMHf-1x7Y/edit?usp=sharing"",""แผน!Y81"")"),0)</f>
        <v>0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I170</f>
        <v>0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0</v>
      </c>
      <c r="M158" s="132">
        <f t="shared" ca="1" si="104"/>
        <v>0</v>
      </c>
      <c r="N158" s="132">
        <f t="shared" ca="1" si="104"/>
        <v>0</v>
      </c>
      <c r="O158" s="132">
        <f t="shared" ref="O158:O166" ca="1" si="105">IF(L158&gt;0,N158*100/L158,0)</f>
        <v>0</v>
      </c>
      <c r="P158" s="132">
        <f t="shared" ref="P158:P166" ca="1" si="106">IF(M158&gt;0,N158*100/M158,0)</f>
        <v>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0</v>
      </c>
      <c r="M160" s="46">
        <f t="shared" ca="1" si="110"/>
        <v>0</v>
      </c>
      <c r="N160" s="46">
        <f t="shared" ca="1" si="110"/>
        <v>0</v>
      </c>
      <c r="O160" s="46">
        <f t="shared" ca="1" si="105"/>
        <v>0</v>
      </c>
      <c r="P160" s="46">
        <f t="shared" ca="1" si="106"/>
        <v>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0</v>
      </c>
      <c r="M161" s="46">
        <f t="shared" ca="1" si="112"/>
        <v>0</v>
      </c>
      <c r="N161" s="46">
        <f t="shared" ca="1" si="112"/>
        <v>0</v>
      </c>
      <c r="O161" s="46">
        <f t="shared" ca="1" si="105"/>
        <v>0</v>
      </c>
      <c r="P161" s="46">
        <f t="shared" ca="1" si="106"/>
        <v>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IFERROR(__xludf.DUMMYFUNCTION("IMPORTRANGE(""https://docs.google.com/spreadsheets/d/1-uDff_7J0KD5mKrp0Vvzr7lt3OU09vwQwhkpOPPYv2Y/edit?usp=sharing"",""งบพรบ!CA81"")"),0)</f>
        <v>0</v>
      </c>
      <c r="M163" s="46">
        <f ca="1">IFERROR(__xludf.DUMMYFUNCTION("IMPORTRANGE(""https://docs.google.com/spreadsheets/d/1-uDff_7J0KD5mKrp0Vvzr7lt3OU09vwQwhkpOPPYv2Y/edit?usp=sharing"",""งบพรบ!CF81"")"),0)</f>
        <v>0</v>
      </c>
      <c r="N163" s="46">
        <f ca="1">IFERROR(__xludf.DUMMYFUNCTION("IMPORTRANGE(""https://docs.google.com/spreadsheets/d/1-uDff_7J0KD5mKrp0Vvzr7lt3OU09vwQwhkpOPPYv2Y/edit?usp=sharing"",""งบพรบ!CH81"")"),0)</f>
        <v>0</v>
      </c>
      <c r="O163" s="46">
        <f t="shared" ca="1" si="105"/>
        <v>0</v>
      </c>
      <c r="P163" s="46">
        <f t="shared" ca="1" si="106"/>
        <v>0</v>
      </c>
      <c r="Q163" s="46">
        <f ca="1">IFERROR(__xludf.DUMMYFUNCTION("IMPORTRANGE(""https://docs.google.com/spreadsheets/d/1ItG2mGa2ceCfYo0BwxsXqNm01IGEUdYcSSLTEv9YCik/edit?usp=sharing"",""เบิกจ่ายกองทุน!AG81"")"),0)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IFERROR(__xludf.DUMMYFUNCTION("IMPORTRANGE(""https://docs.google.com/spreadsheets/d/1ItG2mGa2ceCfYo0BwxsXqNm01IGEUdYcSSLTEv9YCik/edit?usp=sharing"",""เบิกจ่ายกองทุน!AH81"")"),0)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IFERROR(__xludf.DUMMYFUNCTION("IMPORTRANGE(""https://docs.google.com/spreadsheets/d/1ItG2mGa2ceCfYo0BwxsXqNm01IGEUdYcSSLTEv9YCik/edit?usp=sharing"",""เบิกจ่ายกองทุน!AI81"")"),0)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IFERROR(__xludf.DUMMYFUNCTION("IMPORTRANGE(""https://docs.google.com/spreadsheets/d/1-uDff_7J0KD5mKrp0Vvzr7lt3OU09vwQwhkpOPPYv2Y/edit?usp=sharing"",""งบพรบ!CD81"")"),0)</f>
        <v>0</v>
      </c>
      <c r="M166" s="46">
        <f ca="1">IFERROR(__xludf.DUMMYFUNCTION("IMPORTRANGE(""https://docs.google.com/spreadsheets/d/1-uDff_7J0KD5mKrp0Vvzr7lt3OU09vwQwhkpOPPYv2Y/edit?usp=sharing"",""งบพรบ!CG81"")"),0)</f>
        <v>0</v>
      </c>
      <c r="N166" s="46">
        <f ca="1">IFERROR(__xludf.DUMMYFUNCTION("IMPORTRANGE(""https://docs.google.com/spreadsheets/d/1-uDff_7J0KD5mKrp0Vvzr7lt3OU09vwQwhkpOPPYv2Y/edit?usp=sharing"",""งบพรบ!CI81"")"),0)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IFERROR(__xludf.DUMMYFUNCTION("IMPORTRANGE(""https://docs.google.com/spreadsheets/d/1eHaY18a8A9IcSdp1K8H6x8fbOy06t2VsZHhMHf-1x7Y/edit?usp=sharing"",""แผน!Z81"")"),0)</f>
        <v>0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IFERROR(__xludf.DUMMYFUNCTION("IMPORTRANGE(""https://docs.google.com/spreadsheets/d/1eHaY18a8A9IcSdp1K8H6x8fbOy06t2VsZHhMHf-1x7Y/edit?usp=sharing"",""แผน!Z81"")"),0)</f>
        <v>0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IFERROR(__xludf.DUMMYFUNCTION("IMPORTRANGE(""https://docs.google.com/spreadsheets/d/1eHaY18a8A9IcSdp1K8H6x8fbOy06t2VsZHhMHf-1x7Y/edit?usp=sharing"",""แผน!Z81"")"),0)</f>
        <v>0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7</v>
      </c>
      <c r="J173" s="221">
        <f t="shared" si="117"/>
        <v>7</v>
      </c>
      <c r="K173" s="222">
        <f ca="1">IF(I173&gt;0,J173*100/I173,0)</f>
        <v>100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19590</v>
      </c>
      <c r="M174" s="132">
        <f t="shared" ca="1" si="118"/>
        <v>36580</v>
      </c>
      <c r="N174" s="132">
        <f t="shared" ca="1" si="118"/>
        <v>34540</v>
      </c>
      <c r="O174" s="132">
        <f t="shared" ref="O174:O182" ca="1" si="119">IF(L174&gt;0,N174*100/L174,0)</f>
        <v>176.31444614599286</v>
      </c>
      <c r="P174" s="132">
        <f t="shared" ref="P174:P182" ca="1" si="120">IF(M174&gt;0,N174*100/M174,0)</f>
        <v>94.42318206670312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19590</v>
      </c>
      <c r="M176" s="46">
        <f t="shared" ca="1" si="124"/>
        <v>36580</v>
      </c>
      <c r="N176" s="46">
        <f t="shared" ca="1" si="124"/>
        <v>34540</v>
      </c>
      <c r="O176" s="46">
        <f t="shared" ca="1" si="119"/>
        <v>176.31444614599286</v>
      </c>
      <c r="P176" s="46">
        <f t="shared" ca="1" si="120"/>
        <v>94.42318206670312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19590</v>
      </c>
      <c r="M177" s="46">
        <f t="shared" ca="1" si="126"/>
        <v>36580</v>
      </c>
      <c r="N177" s="46">
        <f t="shared" ca="1" si="126"/>
        <v>34540</v>
      </c>
      <c r="O177" s="46">
        <f t="shared" ca="1" si="119"/>
        <v>176.31444614599286</v>
      </c>
      <c r="P177" s="46">
        <f t="shared" ca="1" si="120"/>
        <v>94.42318206670312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IFERROR(__xludf.DUMMYFUNCTION("IMPORTRANGE(""https://docs.google.com/spreadsheets/d/1-uDff_7J0KD5mKrp0Vvzr7lt3OU09vwQwhkpOPPYv2Y/edit?usp=sharing"",""งบพรบ!CK81"")"),19590)</f>
        <v>19590</v>
      </c>
      <c r="M179" s="46">
        <f ca="1">IFERROR(__xludf.DUMMYFUNCTION("IMPORTRANGE(""https://docs.google.com/spreadsheets/d/1-uDff_7J0KD5mKrp0Vvzr7lt3OU09vwQwhkpOPPYv2Y/edit?usp=sharing"",""งบพรบ!CP81"")"),36580)</f>
        <v>36580</v>
      </c>
      <c r="N179" s="46">
        <f ca="1">IFERROR(__xludf.DUMMYFUNCTION("IMPORTRANGE(""https://docs.google.com/spreadsheets/d/1-uDff_7J0KD5mKrp0Vvzr7lt3OU09vwQwhkpOPPYv2Y/edit?usp=sharing"",""งบพรบ!CR81"")"),34540)</f>
        <v>34540</v>
      </c>
      <c r="O179" s="46">
        <f t="shared" ca="1" si="119"/>
        <v>176.31444614599286</v>
      </c>
      <c r="P179" s="46">
        <f t="shared" ca="1" si="120"/>
        <v>94.42318206670312</v>
      </c>
      <c r="Q179" s="46">
        <f ca="1">IFERROR(__xludf.DUMMYFUNCTION("IMPORTRANGE(""https://docs.google.com/spreadsheets/d/1ItG2mGa2ceCfYo0BwxsXqNm01IGEUdYcSSLTEv9YCik/edit?usp=sharing"",""เบิกจ่ายกองทุน!BE81"")"),0)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IFERROR(__xludf.DUMMYFUNCTION("IMPORTRANGE(""https://docs.google.com/spreadsheets/d/1ItG2mGa2ceCfYo0BwxsXqNm01IGEUdYcSSLTEv9YCik/edit?usp=sharing"",""เบิกจ่ายกองทุน!BF81"")"),0)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IFERROR(__xludf.DUMMYFUNCTION("IMPORTRANGE(""https://docs.google.com/spreadsheets/d/1ItG2mGa2ceCfYo0BwxsXqNm01IGEUdYcSSLTEv9YCik/edit?usp=sharing"",""เบิกจ่ายกองทุน!BG81"")"),0)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IFERROR(__xludf.DUMMYFUNCTION("IMPORTRANGE(""https://docs.google.com/spreadsheets/d/1-uDff_7J0KD5mKrp0Vvzr7lt3OU09vwQwhkpOPPYv2Y/edit?usp=sharing"",""งบพรบ!CN81"")"),0)</f>
        <v>0</v>
      </c>
      <c r="M182" s="46">
        <f ca="1">IFERROR(__xludf.DUMMYFUNCTION("IMPORTRANGE(""https://docs.google.com/spreadsheets/d/1-uDff_7J0KD5mKrp0Vvzr7lt3OU09vwQwhkpOPPYv2Y/edit?usp=sharing"",""งบพรบ!CQ81"")"),0)</f>
        <v>0</v>
      </c>
      <c r="N182" s="46">
        <f ca="1">IFERROR(__xludf.DUMMYFUNCTION("IMPORTRANGE(""https://docs.google.com/spreadsheets/d/1-uDff_7J0KD5mKrp0Vvzr7lt3OU09vwQwhkpOPPYv2Y/edit?usp=sharing"",""งบพรบ!CS81"")"),0)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IFERROR(__xludf.DUMMYFUNCTION("IMPORTRANGE(""https://docs.google.com/spreadsheets/d/1eHaY18a8A9IcSdp1K8H6x8fbOy06t2VsZHhMHf-1x7Y/edit?usp=sharing"",""แผน!AA81"")"),7)</f>
        <v>7</v>
      </c>
      <c r="J184" s="168">
        <v>7</v>
      </c>
      <c r="K184" s="46">
        <f t="shared" ref="K184:K186" ca="1" si="130">IF(I184&gt;0,J184*100/I184,0)</f>
        <v>100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121500</v>
      </c>
      <c r="M187" s="132">
        <f t="shared" ca="1" si="132"/>
        <v>105500</v>
      </c>
      <c r="N187" s="132">
        <f t="shared" ca="1" si="132"/>
        <v>86170.5</v>
      </c>
      <c r="O187" s="132">
        <f t="shared" ref="O187:O195" ca="1" si="133">IF(L187&gt;0,N187*100/L187,0)</f>
        <v>70.922222222222217</v>
      </c>
      <c r="P187" s="132">
        <f t="shared" ref="P187:P195" ca="1" si="134">IF(M187&gt;0,N187*100/M187,0)</f>
        <v>81.678199052132697</v>
      </c>
      <c r="Q187" s="132">
        <f t="shared" ref="Q187:S187" ca="1" si="135">Q188+Q189</f>
        <v>28000</v>
      </c>
      <c r="R187" s="132">
        <f t="shared" ca="1" si="135"/>
        <v>28000</v>
      </c>
      <c r="S187" s="132">
        <f t="shared" ca="1" si="135"/>
        <v>28000</v>
      </c>
      <c r="T187" s="132">
        <f t="shared" ref="T187:T195" ca="1" si="136">IF(Q187&gt;0,S187*100/Q187,0)</f>
        <v>100</v>
      </c>
      <c r="U187" s="132">
        <f t="shared" ref="U187:U195" ca="1" si="137">IF(R187&gt;0,S187*100/R187,0)</f>
        <v>100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121500</v>
      </c>
      <c r="M189" s="46">
        <f t="shared" ca="1" si="138"/>
        <v>105500</v>
      </c>
      <c r="N189" s="46">
        <f t="shared" ca="1" si="138"/>
        <v>86170.5</v>
      </c>
      <c r="O189" s="46">
        <f t="shared" ca="1" si="133"/>
        <v>70.922222222222217</v>
      </c>
      <c r="P189" s="46">
        <f t="shared" ca="1" si="134"/>
        <v>81.678199052132697</v>
      </c>
      <c r="Q189" s="46">
        <f t="shared" ca="1" si="139"/>
        <v>28000</v>
      </c>
      <c r="R189" s="46">
        <f t="shared" ca="1" si="139"/>
        <v>28000</v>
      </c>
      <c r="S189" s="46">
        <f t="shared" ca="1" si="139"/>
        <v>28000</v>
      </c>
      <c r="T189" s="46">
        <f t="shared" ca="1" si="136"/>
        <v>100</v>
      </c>
      <c r="U189" s="46">
        <f t="shared" ca="1" si="137"/>
        <v>100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121500</v>
      </c>
      <c r="M190" s="46">
        <f t="shared" ca="1" si="140"/>
        <v>105500</v>
      </c>
      <c r="N190" s="46">
        <f t="shared" ca="1" si="140"/>
        <v>86170.5</v>
      </c>
      <c r="O190" s="46">
        <f t="shared" ca="1" si="133"/>
        <v>70.922222222222217</v>
      </c>
      <c r="P190" s="46">
        <f t="shared" ca="1" si="134"/>
        <v>81.678199052132697</v>
      </c>
      <c r="Q190" s="46">
        <f t="shared" ref="Q190:S190" ca="1" si="141">Q191+Q192</f>
        <v>28000</v>
      </c>
      <c r="R190" s="46">
        <f t="shared" ca="1" si="141"/>
        <v>28000</v>
      </c>
      <c r="S190" s="46">
        <f t="shared" ca="1" si="141"/>
        <v>28000</v>
      </c>
      <c r="T190" s="46">
        <f t="shared" ca="1" si="136"/>
        <v>100</v>
      </c>
      <c r="U190" s="46">
        <f t="shared" ca="1" si="137"/>
        <v>100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IFERROR(__xludf.DUMMYFUNCTION("IMPORTRANGE(""https://docs.google.com/spreadsheets/d/1-uDff_7J0KD5mKrp0Vvzr7lt3OU09vwQwhkpOPPYv2Y/edit?usp=sharing"",""งบพรบ!CU81"")"),121500)</f>
        <v>121500</v>
      </c>
      <c r="M192" s="46">
        <f ca="1">IFERROR(__xludf.DUMMYFUNCTION("IMPORTRANGE(""https://docs.google.com/spreadsheets/d/1-uDff_7J0KD5mKrp0Vvzr7lt3OU09vwQwhkpOPPYv2Y/edit?usp=sharing"",""งบพรบ!CZ81"")"),105500)</f>
        <v>105500</v>
      </c>
      <c r="N192" s="46">
        <f ca="1">IFERROR(__xludf.DUMMYFUNCTION("IMPORTRANGE(""https://docs.google.com/spreadsheets/d/1-uDff_7J0KD5mKrp0Vvzr7lt3OU09vwQwhkpOPPYv2Y/edit?usp=sharing"",""งบพรบ!DB81"")"),86170.5)</f>
        <v>86170.5</v>
      </c>
      <c r="O192" s="46">
        <f t="shared" ca="1" si="133"/>
        <v>70.922222222222217</v>
      </c>
      <c r="P192" s="46">
        <f t="shared" ca="1" si="134"/>
        <v>81.678199052132697</v>
      </c>
      <c r="Q192" s="46">
        <f ca="1">IFERROR(__xludf.DUMMYFUNCTION("IMPORTRANGE(""https://docs.google.com/spreadsheets/d/1ItG2mGa2ceCfYo0BwxsXqNm01IGEUdYcSSLTEv9YCik/edit?usp=sharing"",""เบิกจ่ายกองทุน!AV81"")"),28000)</f>
        <v>28000</v>
      </c>
      <c r="R192" s="46">
        <f ca="1">IFERROR(__xludf.DUMMYFUNCTION("IMPORTRANGE(""https://docs.google.com/spreadsheets/d/1ItG2mGa2ceCfYo0BwxsXqNm01IGEUdYcSSLTEv9YCik/edit?usp=sharing"",""เบิกจ่ายกองทุน!AW81"")"),28000)</f>
        <v>28000</v>
      </c>
      <c r="S192" s="46">
        <f ca="1">IFERROR(__xludf.DUMMYFUNCTION("IMPORTRANGE(""https://docs.google.com/spreadsheets/d/1ItG2mGa2ceCfYo0BwxsXqNm01IGEUdYcSSLTEv9YCik/edit?usp=sharing"",""เบิกจ่ายกองทุน!AX81"")"),28000)</f>
        <v>28000</v>
      </c>
      <c r="T192" s="46">
        <f t="shared" ca="1" si="136"/>
        <v>100</v>
      </c>
      <c r="U192" s="46">
        <f t="shared" ca="1" si="137"/>
        <v>100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IFERROR(__xludf.DUMMYFUNCTION("IMPORTRANGE(""https://docs.google.com/spreadsheets/d/1-uDff_7J0KD5mKrp0Vvzr7lt3OU09vwQwhkpOPPYv2Y/edit?usp=sharing"",""งบพรบ!CX81"")"),0)</f>
        <v>0</v>
      </c>
      <c r="M195" s="46">
        <f ca="1">IFERROR(__xludf.DUMMYFUNCTION("IMPORTRANGE(""https://docs.google.com/spreadsheets/d/1-uDff_7J0KD5mKrp0Vvzr7lt3OU09vwQwhkpOPPYv2Y/edit?usp=sharing"",""งบพรบ!DA81"")"),0)</f>
        <v>0</v>
      </c>
      <c r="N195" s="46">
        <f ca="1">IFERROR(__xludf.DUMMYFUNCTION("IMPORTRANGE(""https://docs.google.com/spreadsheets/d/1-uDff_7J0KD5mKrp0Vvzr7lt3OU09vwQwhkpOPPYv2Y/edit?usp=sharing"",""งบพรบ!DC81"")"),0)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1</v>
      </c>
      <c r="K196" s="236">
        <f ca="1">IF(I196&gt;0,J196*100/I196,0)</f>
        <v>25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IFERROR(__xludf.DUMMYFUNCTION("IMPORTRANGE(""https://docs.google.com/spreadsheets/d/1eHaY18a8A9IcSdp1K8H6x8fbOy06t2VsZHhMHf-1x7Y/edit?usp=sharing"",""แผน!AB81"")"),6000)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IFERROR(__xludf.DUMMYFUNCTION("IMPORTRANGE(""https://docs.google.com/spreadsheets/d/1eHaY18a8A9IcSdp1K8H6x8fbOy06t2VsZHhMHf-1x7Y/edit?usp=sharing"",""แผน!AE81"")"),4)</f>
        <v>4</v>
      </c>
      <c r="J199" s="168">
        <v>1</v>
      </c>
      <c r="K199" s="46">
        <f ca="1">IF(I199&gt;0,J199*100/I199,0)</f>
        <v>25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28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28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2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13000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IFERROR(__xludf.DUMMYFUNCTION("IMPORTRANGE(""https://docs.google.com/spreadsheets/d/1eHaY18a8A9IcSdp1K8H6x8fbOy06t2VsZHhMHf-1x7Y/edit?usp=sharing"",""แผน!AG81"")"),2000)</f>
        <v>2000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IFERROR(__xludf.DUMMYFUNCTION("IMPORTRANGE(""https://docs.google.com/spreadsheets/d/1eHaY18a8A9IcSdp1K8H6x8fbOy06t2VsZHhMHf-1x7Y/edit?usp=sharing"",""แผน!AH81"")"),0)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IFERROR(__xludf.DUMMYFUNCTION("IMPORTRANGE(""https://docs.google.com/spreadsheets/d/1eHaY18a8A9IcSdp1K8H6x8fbOy06t2VsZHhMHf-1x7Y/edit?usp=sharing"",""แผน!AI81"")"),0)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IFERROR(__xludf.DUMMYFUNCTION("IMPORTRANGE(""https://docs.google.com/spreadsheets/d/1eHaY18a8A9IcSdp1K8H6x8fbOy06t2VsZHhMHf-1x7Y/edit?usp=sharing"",""แผน!AJ81"")"),11000)</f>
        <v>11000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IFERROR(__xludf.DUMMYFUNCTION("IMPORTRANGE(""https://docs.google.com/spreadsheets/d/1eHaY18a8A9IcSdp1K8H6x8fbOy06t2VsZHhMHf-1x7Y/edit?usp=sharing"",""แผน!AK81"")"),2)</f>
        <v>2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IFERROR(__xludf.DUMMYFUNCTION("IMPORTRANGE(""https://docs.google.com/spreadsheets/d/1eHaY18a8A9IcSdp1K8H6x8fbOy06t2VsZHhMHf-1x7Y/edit?usp=sharing"",""แผน!JX81"")"),2)</f>
        <v>2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IFERROR(__xludf.DUMMYFUNCTION("IMPORTRANGE(""https://docs.google.com/spreadsheets/d/1eHaY18a8A9IcSdp1K8H6x8fbOy06t2VsZHhMHf-1x7Y/edit?usp=sharing"",""แผน!JY81"")"),1)</f>
        <v>1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0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IFERROR(__xludf.DUMMYFUNCTION("IMPORTRANGE(""https://docs.google.com/spreadsheets/d/1eHaY18a8A9IcSdp1K8H6x8fbOy06t2VsZHhMHf-1x7Y/edit?usp=sharing"",""แผน!AM81"")"),0)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IFERROR(__xludf.DUMMYFUNCTION("IMPORTRANGE(""https://docs.google.com/spreadsheets/d/1eHaY18a8A9IcSdp1K8H6x8fbOy06t2VsZHhMHf-1x7Y/edit?usp=sharing"",""แผน!AN81"")"),0)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IFERROR(__xludf.DUMMYFUNCTION("IMPORTRANGE(""https://docs.google.com/spreadsheets/d/1eHaY18a8A9IcSdp1K8H6x8fbOy06t2VsZHhMHf-1x7Y/edit?usp=sharing"",""แผน!AO81"")"),0)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IFERROR(__xludf.DUMMYFUNCTION("IMPORTRANGE(""https://docs.google.com/spreadsheets/d/1eHaY18a8A9IcSdp1K8H6x8fbOy06t2VsZHhMHf-1x7Y/edit?usp=sharing"",""แผน!AP81"")"),0)</f>
        <v>0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20000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IFERROR(__xludf.DUMMYFUNCTION("IMPORTRANGE(""https://docs.google.com/spreadsheets/d/1eHaY18a8A9IcSdp1K8H6x8fbOy06t2VsZHhMHf-1x7Y/edit?usp=sharing"",""แผน!AR81"")"),2500)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IFERROR(__xludf.DUMMYFUNCTION("IMPORTRANGE(""https://docs.google.com/spreadsheets/d/1eHaY18a8A9IcSdp1K8H6x8fbOy06t2VsZHhMHf-1x7Y/edit?usp=sharing"",""แผน!AS81"")"),2000)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IFERROR(__xludf.DUMMYFUNCTION("IMPORTRANGE(""https://docs.google.com/spreadsheets/d/1eHaY18a8A9IcSdp1K8H6x8fbOy06t2VsZHhMHf-1x7Y/edit?usp=sharing"",""แผน!AT81"")"),0)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IFERROR(__xludf.DUMMYFUNCTION("IMPORTRANGE(""https://docs.google.com/spreadsheets/d/1eHaY18a8A9IcSdp1K8H6x8fbOy06t2VsZHhMHf-1x7Y/edit?usp=sharing"",""แผน!AV81"")"),20000)</f>
        <v>20000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IFERROR(__xludf.DUMMYFUNCTION("IMPORTRANGE(""https://docs.google.com/spreadsheets/d/1eHaY18a8A9IcSdp1K8H6x8fbOy06t2VsZHhMHf-1x7Y/edit?usp=sharing"",""แผน!AU81"")"),0)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1">I243+I254</f>
        <v>0</v>
      </c>
      <c r="J232" s="573">
        <f t="shared" si="151"/>
        <v>0</v>
      </c>
      <c r="K232" s="574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4">I250+I261</f>
        <v>0</v>
      </c>
      <c r="J239" s="340">
        <f t="shared" si="154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5">I252+I263</f>
        <v>0</v>
      </c>
      <c r="J241" s="340">
        <f t="shared" si="155"/>
        <v>0</v>
      </c>
      <c r="K241" s="48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5"/>
        <v>0</v>
      </c>
      <c r="J242" s="340">
        <f t="shared" si="155"/>
        <v>0</v>
      </c>
      <c r="K242" s="48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IFERROR(__xludf.DUMMYFUNCTION("IMPORTRANGE(""https://docs.google.com/spreadsheets/d/1eHaY18a8A9IcSdp1K8H6x8fbOy06t2VsZHhMHf-1x7Y/edit?usp=sharing"",""แผน!AX81"")"),0)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IFERROR(__xludf.DUMMYFUNCTION("IMPORTRANGE(""https://docs.google.com/spreadsheets/d/1eHaY18a8A9IcSdp1K8H6x8fbOy06t2VsZHhMHf-1x7Y/edit?usp=sharing"",""แผน!AY81"")"),0)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IFERROR(__xludf.DUMMYFUNCTION("IMPORTRANGE(""https://docs.google.com/spreadsheets/d/1eHaY18a8A9IcSdp1K8H6x8fbOy06t2VsZHhMHf-1x7Y/edit?usp=sharing"",""แผน!AZ81"")"),0)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IFERROR(__xludf.DUMMYFUNCTION("IMPORTRANGE(""https://docs.google.com/spreadsheets/d/1eHaY18a8A9IcSdp1K8H6x8fbOy06t2VsZHhMHf-1x7Y/edit?usp=sharing"",""แผน!BA81"")"),0)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IFERROR(__xludf.DUMMYFUNCTION("IMPORTRANGE(""https://docs.google.com/spreadsheets/d/1eHaY18a8A9IcSdp1K8H6x8fbOy06t2VsZHhMHf-1x7Y/edit?usp=sharing"",""แผน!BG81"")"),0)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IFERROR(__xludf.DUMMYFUNCTION("IMPORTRANGE(""https://docs.google.com/spreadsheets/d/1eHaY18a8A9IcSdp1K8H6x8fbOy06t2VsZHhMHf-1x7Y/edit?usp=sharing"",""แผน!BB81"")"),0)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IFERROR(__xludf.DUMMYFUNCTION("IMPORTRANGE(""https://docs.google.com/spreadsheets/d/1eHaY18a8A9IcSdp1K8H6x8fbOy06t2VsZHhMHf-1x7Y/edit?usp=sharing"",""แผน!BC81"")"),0)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IFERROR(__xludf.DUMMYFUNCTION("IMPORTRANGE(""https://docs.google.com/spreadsheets/d/1eHaY18a8A9IcSdp1K8H6x8fbOy06t2VsZHhMHf-1x7Y/edit?usp=sharing"",""แผน!BD81"")"),0)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IFERROR(__xludf.DUMMYFUNCTION("IMPORTRANGE(""https://docs.google.com/spreadsheets/d/1eHaY18a8A9IcSdp1K8H6x8fbOy06t2VsZHhMHf-1x7Y/edit?usp=sharing"",""แผน!BE81"")"),0)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IFERROR(__xludf.DUMMYFUNCTION("IMPORTRANGE(""https://docs.google.com/spreadsheets/d/1eHaY18a8A9IcSdp1K8H6x8fbOy06t2VsZHhMHf-1x7Y/edit?usp=sharing"",""แผน!BH81"")"),0)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606"/>
      <c r="M265" s="605"/>
      <c r="N265" s="605"/>
      <c r="O265" s="605"/>
      <c r="P265" s="605"/>
      <c r="Q265" s="605"/>
      <c r="R265" s="605"/>
      <c r="S265" s="605"/>
      <c r="T265" s="605"/>
      <c r="U265" s="605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22</v>
      </c>
      <c r="J266" s="613">
        <f t="shared" si="161"/>
        <v>0</v>
      </c>
      <c r="K266" s="614">
        <f ca="1">IF(I266&gt;0,J266*100/I266,0)</f>
        <v>0</v>
      </c>
      <c r="L266" s="615"/>
      <c r="M266" s="616"/>
      <c r="N266" s="616"/>
      <c r="O266" s="616"/>
      <c r="P266" s="616"/>
      <c r="Q266" s="616"/>
      <c r="R266" s="616"/>
      <c r="S266" s="616"/>
      <c r="T266" s="616"/>
      <c r="U266" s="616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625">
        <f t="shared" ref="L267:N267" ca="1" si="162">L268+L269</f>
        <v>0</v>
      </c>
      <c r="M267" s="626">
        <f t="shared" ca="1" si="162"/>
        <v>5000</v>
      </c>
      <c r="N267" s="626">
        <f t="shared" ca="1" si="162"/>
        <v>0</v>
      </c>
      <c r="O267" s="626">
        <f t="shared" ref="O267:O275" ca="1" si="163">IF(L267&gt;0,N267*100/L267,0)</f>
        <v>0</v>
      </c>
      <c r="P267" s="626">
        <f t="shared" ref="P267:P275" ca="1" si="164">IF(M267&gt;0,N267*100/M267,0)</f>
        <v>0</v>
      </c>
      <c r="Q267" s="626">
        <f t="shared" ref="Q267:S267" ca="1" si="165">Q268+Q269</f>
        <v>50660</v>
      </c>
      <c r="R267" s="626">
        <f t="shared" ca="1" si="165"/>
        <v>50660</v>
      </c>
      <c r="S267" s="626">
        <f t="shared" ca="1" si="165"/>
        <v>1950</v>
      </c>
      <c r="T267" s="626">
        <f t="shared" ref="T267:T275" ca="1" si="166">IF(Q267&gt;0,S267*100/Q267,0)</f>
        <v>3.8491906829846032</v>
      </c>
      <c r="U267" s="626">
        <f t="shared" ref="U267:U275" ca="1" si="167">IF(R267&gt;0,S267*100/R267,0)</f>
        <v>3.8491906829846032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629">
        <f t="shared" ca="1" si="168"/>
        <v>0</v>
      </c>
      <c r="M269" s="630">
        <f t="shared" ca="1" si="168"/>
        <v>5000</v>
      </c>
      <c r="N269" s="630">
        <f t="shared" ca="1" si="168"/>
        <v>0</v>
      </c>
      <c r="O269" s="630">
        <f t="shared" ca="1" si="163"/>
        <v>0</v>
      </c>
      <c r="P269" s="630">
        <f t="shared" ca="1" si="164"/>
        <v>0</v>
      </c>
      <c r="Q269" s="630">
        <f t="shared" ca="1" si="169"/>
        <v>50660</v>
      </c>
      <c r="R269" s="630">
        <f t="shared" ca="1" si="169"/>
        <v>50660</v>
      </c>
      <c r="S269" s="630">
        <f t="shared" ca="1" si="169"/>
        <v>1950</v>
      </c>
      <c r="T269" s="630">
        <f t="shared" ca="1" si="166"/>
        <v>3.8491906829846032</v>
      </c>
      <c r="U269" s="630">
        <f t="shared" ca="1" si="167"/>
        <v>3.8491906829846032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629">
        <f t="shared" ref="L270:N270" ca="1" si="170">L271+L272</f>
        <v>0</v>
      </c>
      <c r="M270" s="630">
        <f t="shared" ca="1" si="170"/>
        <v>5000</v>
      </c>
      <c r="N270" s="630">
        <f t="shared" ca="1" si="170"/>
        <v>0</v>
      </c>
      <c r="O270" s="630">
        <f t="shared" ca="1" si="163"/>
        <v>0</v>
      </c>
      <c r="P270" s="630">
        <f t="shared" ca="1" si="164"/>
        <v>0</v>
      </c>
      <c r="Q270" s="630">
        <f t="shared" ref="Q270:S270" ca="1" si="171">Q271+Q272</f>
        <v>50660</v>
      </c>
      <c r="R270" s="630">
        <f t="shared" ca="1" si="171"/>
        <v>50660</v>
      </c>
      <c r="S270" s="630">
        <f t="shared" ca="1" si="171"/>
        <v>1950</v>
      </c>
      <c r="T270" s="630">
        <f t="shared" ca="1" si="166"/>
        <v>3.8491906829846032</v>
      </c>
      <c r="U270" s="630">
        <f t="shared" ca="1" si="167"/>
        <v>3.8491906829846032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629">
        <f ca="1">IFERROR(__xludf.DUMMYFUNCTION("IMPORTRANGE(""https://docs.google.com/spreadsheets/d/1-uDff_7J0KD5mKrp0Vvzr7lt3OU09vwQwhkpOPPYv2Y/edit?usp=sharing"",""งบพรบ!DE81"")"),0)</f>
        <v>0</v>
      </c>
      <c r="M272" s="630">
        <f ca="1">IFERROR(__xludf.DUMMYFUNCTION("IMPORTRANGE(""https://docs.google.com/spreadsheets/d/1-uDff_7J0KD5mKrp0Vvzr7lt3OU09vwQwhkpOPPYv2Y/edit?usp=sharing"",""งบพรบ!DJ81"")"),5000)</f>
        <v>5000</v>
      </c>
      <c r="N272" s="630">
        <f ca="1">IFERROR(__xludf.DUMMYFUNCTION("IMPORTRANGE(""https://docs.google.com/spreadsheets/d/1-uDff_7J0KD5mKrp0Vvzr7lt3OU09vwQwhkpOPPYv2Y/edit?usp=sharing"",""งบพรบ!DL81"")"),0)</f>
        <v>0</v>
      </c>
      <c r="O272" s="630">
        <f t="shared" ca="1" si="163"/>
        <v>0</v>
      </c>
      <c r="P272" s="630">
        <f t="shared" ca="1" si="164"/>
        <v>0</v>
      </c>
      <c r="Q272" s="630">
        <f ca="1">IFERROR(__xludf.DUMMYFUNCTION("IMPORTRANGE(""https://docs.google.com/spreadsheets/d/1ItG2mGa2ceCfYo0BwxsXqNm01IGEUdYcSSLTEv9YCik/edit?usp=sharing"",""เบิกจ่ายกองทุน!AJ81"")"),50660)</f>
        <v>50660</v>
      </c>
      <c r="R272" s="630">
        <f ca="1">IFERROR(__xludf.DUMMYFUNCTION("IMPORTRANGE(""https://docs.google.com/spreadsheets/d/1ItG2mGa2ceCfYo0BwxsXqNm01IGEUdYcSSLTEv9YCik/edit?usp=sharing"",""เบิกจ่ายกองทุน!AK81"")"),50660)</f>
        <v>50660</v>
      </c>
      <c r="S272" s="630">
        <f ca="1">IFERROR(__xludf.DUMMYFUNCTION("IMPORTRANGE(""https://docs.google.com/spreadsheets/d/1ItG2mGa2ceCfYo0BwxsXqNm01IGEUdYcSSLTEv9YCik/edit?usp=sharing"",""เบิกจ่ายกองทุน!AL81"")"),1950)</f>
        <v>1950</v>
      </c>
      <c r="T272" s="630">
        <f t="shared" ca="1" si="166"/>
        <v>3.8491906829846032</v>
      </c>
      <c r="U272" s="630">
        <f t="shared" ca="1" si="167"/>
        <v>3.8491906829846032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629">
        <f t="shared" ref="L273:N273" ca="1" si="172">L274+L275</f>
        <v>0</v>
      </c>
      <c r="M273" s="630">
        <f t="shared" ca="1" si="172"/>
        <v>0</v>
      </c>
      <c r="N273" s="630">
        <f t="shared" ca="1" si="172"/>
        <v>0</v>
      </c>
      <c r="O273" s="630">
        <f t="shared" ca="1" si="163"/>
        <v>0</v>
      </c>
      <c r="P273" s="630">
        <f t="shared" ca="1" si="164"/>
        <v>0</v>
      </c>
      <c r="Q273" s="630">
        <f t="shared" ref="Q273:S273" si="173">Q274+Q275</f>
        <v>0</v>
      </c>
      <c r="R273" s="630">
        <f t="shared" si="173"/>
        <v>0</v>
      </c>
      <c r="S273" s="630">
        <f t="shared" si="173"/>
        <v>0</v>
      </c>
      <c r="T273" s="630">
        <f t="shared" si="166"/>
        <v>0</v>
      </c>
      <c r="U273" s="630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629">
        <f ca="1">IFERROR(__xludf.DUMMYFUNCTION("IMPORTRANGE(""https://docs.google.com/spreadsheets/d/1-uDff_7J0KD5mKrp0Vvzr7lt3OU09vwQwhkpOPPYv2Y/edit?usp=sharing"",""งบพรบ!DH81"")"),0)</f>
        <v>0</v>
      </c>
      <c r="M275" s="630">
        <f ca="1">IFERROR(__xludf.DUMMYFUNCTION("IMPORTRANGE(""https://docs.google.com/spreadsheets/d/1-uDff_7J0KD5mKrp0Vvzr7lt3OU09vwQwhkpOPPYv2Y/edit?usp=sharing"",""งบพรบ!DK81"")"),0)</f>
        <v>0</v>
      </c>
      <c r="N275" s="630">
        <f ca="1">IFERROR(__xludf.DUMMYFUNCTION("IMPORTRANGE(""https://docs.google.com/spreadsheets/d/1-uDff_7J0KD5mKrp0Vvzr7lt3OU09vwQwhkpOPPYv2Y/edit?usp=sharing"",""งบพรบ!DM81"")"),0)</f>
        <v>0</v>
      </c>
      <c r="O275" s="630">
        <f t="shared" ca="1" si="163"/>
        <v>0</v>
      </c>
      <c r="P275" s="630">
        <f t="shared" ca="1" si="164"/>
        <v>0</v>
      </c>
      <c r="Q275" s="630">
        <v>0</v>
      </c>
      <c r="R275" s="630">
        <v>0</v>
      </c>
      <c r="S275" s="630">
        <v>0</v>
      </c>
      <c r="T275" s="630">
        <f t="shared" si="166"/>
        <v>0</v>
      </c>
      <c r="U275" s="630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640"/>
      <c r="M276" s="634"/>
      <c r="N276" s="634"/>
      <c r="O276" s="634"/>
      <c r="P276" s="634"/>
      <c r="Q276" s="634"/>
      <c r="R276" s="634"/>
      <c r="S276" s="634"/>
      <c r="T276" s="634"/>
      <c r="U276" s="634"/>
    </row>
    <row r="277" spans="1:21" ht="18.75" x14ac:dyDescent="0.25">
      <c r="A277" s="641"/>
      <c r="B277" s="642"/>
      <c r="C277" s="642"/>
      <c r="D277" s="643" t="s">
        <v>115</v>
      </c>
      <c r="E277" s="644"/>
      <c r="F277" s="644"/>
      <c r="G277" s="645"/>
      <c r="H277" s="646" t="s">
        <v>35</v>
      </c>
      <c r="I277" s="647">
        <f ca="1">IFERROR(__xludf.DUMMYFUNCTION("IMPORTRANGE(""https://docs.google.com/spreadsheets/d/1eHaY18a8A9IcSdp1K8H6x8fbOy06t2VsZHhMHf-1x7Y/edit?usp=sharing"",""แผน!EC81"")"),22)</f>
        <v>22</v>
      </c>
      <c r="J277" s="177">
        <v>0</v>
      </c>
      <c r="K277" s="178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273"/>
      <c r="B278" s="274"/>
      <c r="C278" s="274"/>
      <c r="D278" s="648" t="s">
        <v>116</v>
      </c>
      <c r="E278" s="276"/>
      <c r="F278" s="276"/>
      <c r="G278" s="277"/>
      <c r="H278" s="649" t="s">
        <v>35</v>
      </c>
      <c r="I278" s="459">
        <v>0</v>
      </c>
      <c r="J278" s="459">
        <v>0</v>
      </c>
      <c r="K278" s="650">
        <v>0</v>
      </c>
      <c r="L278" s="651"/>
      <c r="M278" s="279"/>
      <c r="N278" s="279"/>
      <c r="O278" s="279"/>
      <c r="P278" s="279"/>
      <c r="Q278" s="279"/>
      <c r="R278" s="279"/>
      <c r="S278" s="279"/>
      <c r="T278" s="279"/>
      <c r="U278" s="279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0</v>
      </c>
      <c r="J281" s="298">
        <f t="shared" si="174"/>
        <v>0</v>
      </c>
      <c r="K281" s="299">
        <f t="shared" ref="K281:K282" ca="1" si="175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0</v>
      </c>
      <c r="J282" s="298">
        <f t="shared" si="176"/>
        <v>0</v>
      </c>
      <c r="K282" s="299">
        <f t="shared" ca="1" si="175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0</v>
      </c>
      <c r="M283" s="132">
        <f t="shared" ca="1" si="177"/>
        <v>0</v>
      </c>
      <c r="N283" s="132">
        <f t="shared" ca="1" si="177"/>
        <v>0</v>
      </c>
      <c r="O283" s="132">
        <f t="shared" ref="O283:O291" ca="1" si="178">IF(L283&gt;0,N283*100/L283,0)</f>
        <v>0</v>
      </c>
      <c r="P283" s="132">
        <f t="shared" ref="P283:P291" ca="1" si="179">IF(M283&gt;0,N283*100/M283,0)</f>
        <v>0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0</v>
      </c>
      <c r="M285" s="46">
        <f t="shared" ca="1" si="183"/>
        <v>0</v>
      </c>
      <c r="N285" s="46">
        <f t="shared" ca="1" si="183"/>
        <v>0</v>
      </c>
      <c r="O285" s="46">
        <f t="shared" ca="1" si="178"/>
        <v>0</v>
      </c>
      <c r="P285" s="46">
        <f t="shared" ca="1" si="179"/>
        <v>0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0</v>
      </c>
      <c r="M286" s="46">
        <f t="shared" ca="1" si="185"/>
        <v>0</v>
      </c>
      <c r="N286" s="46">
        <f t="shared" ca="1" si="185"/>
        <v>0</v>
      </c>
      <c r="O286" s="46">
        <f t="shared" ca="1" si="178"/>
        <v>0</v>
      </c>
      <c r="P286" s="46">
        <f t="shared" ca="1" si="179"/>
        <v>0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IFERROR(__xludf.DUMMYFUNCTION("IMPORTRANGE(""https://docs.google.com/spreadsheets/d/1-uDff_7J0KD5mKrp0Vvzr7lt3OU09vwQwhkpOPPYv2Y/edit?usp=sharing"",""งบพรบ!DO81"")"),0)</f>
        <v>0</v>
      </c>
      <c r="M288" s="46">
        <f ca="1">IFERROR(__xludf.DUMMYFUNCTION("IMPORTRANGE(""https://docs.google.com/spreadsheets/d/1-uDff_7J0KD5mKrp0Vvzr7lt3OU09vwQwhkpOPPYv2Y/edit?usp=sharing"",""งบพรบ!DT81"")"),0)</f>
        <v>0</v>
      </c>
      <c r="N288" s="46">
        <f ca="1">IFERROR(__xludf.DUMMYFUNCTION("IMPORTRANGE(""https://docs.google.com/spreadsheets/d/1-uDff_7J0KD5mKrp0Vvzr7lt3OU09vwQwhkpOPPYv2Y/edit?usp=sharing"",""งบพรบ!DV81"")"),0)</f>
        <v>0</v>
      </c>
      <c r="O288" s="46">
        <f t="shared" ca="1" si="178"/>
        <v>0</v>
      </c>
      <c r="P288" s="46">
        <f t="shared" ca="1" si="179"/>
        <v>0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IFERROR(__xludf.DUMMYFUNCTION("IMPORTRANGE(""https://docs.google.com/spreadsheets/d/1-uDff_7J0KD5mKrp0Vvzr7lt3OU09vwQwhkpOPPYv2Y/edit?usp=sharing"",""งบพรบ!DR81"")"),0)</f>
        <v>0</v>
      </c>
      <c r="M291" s="46">
        <f ca="1">IFERROR(__xludf.DUMMYFUNCTION("IMPORTRANGE(""https://docs.google.com/spreadsheets/d/1-uDff_7J0KD5mKrp0Vvzr7lt3OU09vwQwhkpOPPYv2Y/edit?usp=sharing"",""งบพรบ!DU81"")"),0)</f>
        <v>0</v>
      </c>
      <c r="N291" s="46">
        <f ca="1">IFERROR(__xludf.DUMMYFUNCTION("IMPORTRANGE(""https://docs.google.com/spreadsheets/d/1-uDff_7J0KD5mKrp0Vvzr7lt3OU09vwQwhkpOPPYv2Y/edit?usp=sharing"",""งบพรบ!DW81"")"),0)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IFERROR(__xludf.DUMMYFUNCTION("IMPORTRANGE(""https://docs.google.com/spreadsheets/d/1eHaY18a8A9IcSdp1K8H6x8fbOy06t2VsZHhMHf-1x7Y/edit?usp=sharing"",""แผน!EE81"")"),0)</f>
        <v>0</v>
      </c>
      <c r="J293" s="168">
        <v>0</v>
      </c>
      <c r="K293" s="153">
        <f t="shared" ref="K293:K294" ca="1" si="189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IFERROR(__xludf.DUMMYFUNCTION("IMPORTRANGE(""https://docs.google.com/spreadsheets/d/1eHaY18a8A9IcSdp1K8H6x8fbOy06t2VsZHhMHf-1x7Y/edit?usp=sharing"",""แผน!ED81"")"),0)</f>
        <v>0</v>
      </c>
      <c r="J294" s="147">
        <f>J297</f>
        <v>0</v>
      </c>
      <c r="K294" s="148">
        <f t="shared" ca="1" si="189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8">
        <v>0</v>
      </c>
      <c r="K296" s="153">
        <f t="shared" ref="K296:K297" ca="1" si="190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IFERROR(__xludf.DUMMYFUNCTION("IMPORTRANGE(""https://docs.google.com/spreadsheets/d/1eHaY18a8A9IcSdp1K8H6x8fbOy06t2VsZHhMHf-1x7Y/edit?usp=sharing"",""แผน!ED81"")"),0)</f>
        <v>0</v>
      </c>
      <c r="J297" s="168">
        <v>0</v>
      </c>
      <c r="K297" s="153">
        <f t="shared" ca="1" si="190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25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0</v>
      </c>
      <c r="M304" s="132">
        <f t="shared" ca="1" si="192"/>
        <v>0</v>
      </c>
      <c r="N304" s="132">
        <f t="shared" ca="1" si="192"/>
        <v>0</v>
      </c>
      <c r="O304" s="132">
        <f t="shared" ref="O304:O312" ca="1" si="193">IF(L304&gt;0,N304*100/L304,0)</f>
        <v>0</v>
      </c>
      <c r="P304" s="132">
        <f t="shared" ref="P304:P312" ca="1" si="194">IF(M304&gt;0,N304*100/M304,0)</f>
        <v>0</v>
      </c>
      <c r="Q304" s="132">
        <f t="shared" ref="Q304:S304" ca="1" si="195">Q305+Q306</f>
        <v>226234.22</v>
      </c>
      <c r="R304" s="132">
        <f t="shared" ca="1" si="195"/>
        <v>226234</v>
      </c>
      <c r="S304" s="132">
        <f t="shared" ca="1" si="195"/>
        <v>0</v>
      </c>
      <c r="T304" s="132">
        <f t="shared" ref="T304:T312" ca="1" si="196">IF(Q304&gt;0,S304*100/Q304,0)</f>
        <v>0</v>
      </c>
      <c r="U304" s="132">
        <f t="shared" ref="U304:U312" ca="1" si="197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0</v>
      </c>
      <c r="M306" s="46">
        <f t="shared" ca="1" si="198"/>
        <v>0</v>
      </c>
      <c r="N306" s="46">
        <f t="shared" ca="1" si="198"/>
        <v>0</v>
      </c>
      <c r="O306" s="46">
        <f t="shared" ca="1" si="193"/>
        <v>0</v>
      </c>
      <c r="P306" s="46">
        <f t="shared" ca="1" si="194"/>
        <v>0</v>
      </c>
      <c r="Q306" s="46">
        <f t="shared" ca="1" si="199"/>
        <v>226234.22</v>
      </c>
      <c r="R306" s="46">
        <f t="shared" ca="1" si="199"/>
        <v>226234</v>
      </c>
      <c r="S306" s="46">
        <f t="shared" ca="1" si="199"/>
        <v>0</v>
      </c>
      <c r="T306" s="46">
        <f t="shared" ca="1" si="196"/>
        <v>0</v>
      </c>
      <c r="U306" s="46">
        <f t="shared" ca="1" si="197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0</v>
      </c>
      <c r="M307" s="46">
        <f t="shared" ca="1" si="200"/>
        <v>0</v>
      </c>
      <c r="N307" s="46">
        <f t="shared" ca="1" si="200"/>
        <v>0</v>
      </c>
      <c r="O307" s="46">
        <f t="shared" ca="1" si="193"/>
        <v>0</v>
      </c>
      <c r="P307" s="46">
        <f t="shared" ca="1" si="194"/>
        <v>0</v>
      </c>
      <c r="Q307" s="46">
        <f t="shared" ref="Q307:S307" ca="1" si="201">Q308+Q309</f>
        <v>226234.22</v>
      </c>
      <c r="R307" s="46">
        <f t="shared" ca="1" si="201"/>
        <v>226234</v>
      </c>
      <c r="S307" s="46">
        <f t="shared" ca="1" si="201"/>
        <v>0</v>
      </c>
      <c r="T307" s="46">
        <f t="shared" ca="1" si="196"/>
        <v>0</v>
      </c>
      <c r="U307" s="46">
        <f t="shared" ca="1" si="197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IFERROR(__xludf.DUMMYFUNCTION("IMPORTRANGE(""https://docs.google.com/spreadsheets/d/1-uDff_7J0KD5mKrp0Vvzr7lt3OU09vwQwhkpOPPYv2Y/edit?usp=sharing"",""งบพรบ!DY81"")"),0)</f>
        <v>0</v>
      </c>
      <c r="M309" s="46">
        <f ca="1">IFERROR(__xludf.DUMMYFUNCTION("IMPORTRANGE(""https://docs.google.com/spreadsheets/d/1-uDff_7J0KD5mKrp0Vvzr7lt3OU09vwQwhkpOPPYv2Y/edit?usp=sharing"",""งบพรบ!ED81"")"),0)</f>
        <v>0</v>
      </c>
      <c r="N309" s="46">
        <f ca="1">IFERROR(__xludf.DUMMYFUNCTION("IMPORTRANGE(""https://docs.google.com/spreadsheets/d/1-uDff_7J0KD5mKrp0Vvzr7lt3OU09vwQwhkpOPPYv2Y/edit?usp=sharing"",""งบพรบ!EF81"")"),0)</f>
        <v>0</v>
      </c>
      <c r="O309" s="46">
        <f t="shared" ca="1" si="193"/>
        <v>0</v>
      </c>
      <c r="P309" s="46">
        <f t="shared" ca="1" si="194"/>
        <v>0</v>
      </c>
      <c r="Q309" s="46">
        <f ca="1">IFERROR(__xludf.DUMMYFUNCTION("IMPORTRANGE(""https://docs.google.com/spreadsheets/d/1ItG2mGa2ceCfYo0BwxsXqNm01IGEUdYcSSLTEv9YCik/edit?usp=sharing"",""เบิกจ่ายกองทุน!AP81"")"),226234.22)</f>
        <v>226234.22</v>
      </c>
      <c r="R309" s="46">
        <f ca="1">IFERROR(__xludf.DUMMYFUNCTION("IMPORTRANGE(""https://docs.google.com/spreadsheets/d/1ItG2mGa2ceCfYo0BwxsXqNm01IGEUdYcSSLTEv9YCik/edit?usp=sharing"",""เบิกจ่ายกองทุน!AQ81"")"),226234)</f>
        <v>226234</v>
      </c>
      <c r="S309" s="46">
        <f ca="1">IFERROR(__xludf.DUMMYFUNCTION("IMPORTRANGE(""https://docs.google.com/spreadsheets/d/1ItG2mGa2ceCfYo0BwxsXqNm01IGEUdYcSSLTEv9YCik/edit?usp=sharing"",""เบิกจ่ายกองทุน!AR81"")"),0)</f>
        <v>0</v>
      </c>
      <c r="T309" s="46">
        <f t="shared" ca="1" si="196"/>
        <v>0</v>
      </c>
      <c r="U309" s="46">
        <f t="shared" ca="1" si="197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IFERROR(__xludf.DUMMYFUNCTION("IMPORTRANGE(""https://docs.google.com/spreadsheets/d/1-uDff_7J0KD5mKrp0Vvzr7lt3OU09vwQwhkpOPPYv2Y/edit?usp=sharing"",""งบพรบ!EB81"")"),0)</f>
        <v>0</v>
      </c>
      <c r="M312" s="46">
        <f ca="1">IFERROR(__xludf.DUMMYFUNCTION("IMPORTRANGE(""https://docs.google.com/spreadsheets/d/1-uDff_7J0KD5mKrp0Vvzr7lt3OU09vwQwhkpOPPYv2Y/edit?usp=sharing"",""งบพรบ!EE81"")"),0)</f>
        <v>0</v>
      </c>
      <c r="N312" s="46">
        <f ca="1">IFERROR(__xludf.DUMMYFUNCTION("IMPORTRANGE(""https://docs.google.com/spreadsheets/d/1-uDff_7J0KD5mKrp0Vvzr7lt3OU09vwQwhkpOPPYv2Y/edit?usp=sharing"",""งบพรบ!EG81"")"),0)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IFERROR(__xludf.DUMMYFUNCTION("IMPORTRANGE(""https://docs.google.com/spreadsheets/d/1eHaY18a8A9IcSdp1K8H6x8fbOy06t2VsZHhMHf-1x7Y/edit?usp=sharing"",""แผน!EF81"")"),25)</f>
        <v>25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0</v>
      </c>
      <c r="J320" s="321">
        <f t="shared" si="204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0</v>
      </c>
      <c r="M321" s="132">
        <f t="shared" ca="1" si="205"/>
        <v>0</v>
      </c>
      <c r="N321" s="132">
        <f t="shared" ca="1" si="205"/>
        <v>0</v>
      </c>
      <c r="O321" s="132">
        <f t="shared" ref="O321:O329" ca="1" si="206">IF(L321&gt;0,N321*100/L321,0)</f>
        <v>0</v>
      </c>
      <c r="P321" s="132">
        <f t="shared" ref="P321:P329" ca="1" si="207">IF(M321&gt;0,N321*100/M321,0)</f>
        <v>0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0</v>
      </c>
      <c r="M323" s="46">
        <f t="shared" ca="1" si="211"/>
        <v>0</v>
      </c>
      <c r="N323" s="46">
        <f t="shared" ca="1" si="211"/>
        <v>0</v>
      </c>
      <c r="O323" s="46">
        <f t="shared" ca="1" si="206"/>
        <v>0</v>
      </c>
      <c r="P323" s="46">
        <f t="shared" ca="1" si="207"/>
        <v>0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0</v>
      </c>
      <c r="M324" s="46">
        <f t="shared" ca="1" si="213"/>
        <v>0</v>
      </c>
      <c r="N324" s="46">
        <f t="shared" ca="1" si="213"/>
        <v>0</v>
      </c>
      <c r="O324" s="46">
        <f t="shared" ca="1" si="206"/>
        <v>0</v>
      </c>
      <c r="P324" s="46">
        <f t="shared" ca="1" si="207"/>
        <v>0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IFERROR(__xludf.DUMMYFUNCTION("IMPORTRANGE(""https://docs.google.com/spreadsheets/d/1-uDff_7J0KD5mKrp0Vvzr7lt3OU09vwQwhkpOPPYv2Y/edit?usp=sharing"",""งบพรบ!EI81"")"),0)</f>
        <v>0</v>
      </c>
      <c r="M326" s="46">
        <f ca="1">IFERROR(__xludf.DUMMYFUNCTION("IMPORTRANGE(""https://docs.google.com/spreadsheets/d/1-uDff_7J0KD5mKrp0Vvzr7lt3OU09vwQwhkpOPPYv2Y/edit?usp=sharing"",""งบพรบ!EN81"")"),0)</f>
        <v>0</v>
      </c>
      <c r="N326" s="46">
        <f ca="1">IFERROR(__xludf.DUMMYFUNCTION("IMPORTRANGE(""https://docs.google.com/spreadsheets/d/1-uDff_7J0KD5mKrp0Vvzr7lt3OU09vwQwhkpOPPYv2Y/edit?usp=sharing"",""งบพรบ!EP81"")"),0)</f>
        <v>0</v>
      </c>
      <c r="O326" s="46">
        <f t="shared" ca="1" si="206"/>
        <v>0</v>
      </c>
      <c r="P326" s="46">
        <f t="shared" ca="1" si="207"/>
        <v>0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IFERROR(__xludf.DUMMYFUNCTION("IMPORTRANGE(""https://docs.google.com/spreadsheets/d/1-uDff_7J0KD5mKrp0Vvzr7lt3OU09vwQwhkpOPPYv2Y/edit?usp=sharing"",""งบพรบ!EL81"")"),0)</f>
        <v>0</v>
      </c>
      <c r="M329" s="46">
        <f ca="1">IFERROR(__xludf.DUMMYFUNCTION("IMPORTRANGE(""https://docs.google.com/spreadsheets/d/1-uDff_7J0KD5mKrp0Vvzr7lt3OU09vwQwhkpOPPYv2Y/edit?usp=sharing"",""งบพรบ!EO81"")"),0)</f>
        <v>0</v>
      </c>
      <c r="N329" s="46">
        <f ca="1">IFERROR(__xludf.DUMMYFUNCTION("IMPORTRANGE(""https://docs.google.com/spreadsheets/d/1-uDff_7J0KD5mKrp0Vvzr7lt3OU09vwQwhkpOPPYv2Y/edit?usp=sharing"",""งบพรบ!EQ81"")"),0)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IFERROR(__xludf.DUMMYFUNCTION("IMPORTRANGE(""https://docs.google.com/spreadsheets/d/1eHaY18a8A9IcSdp1K8H6x8fbOy06t2VsZHhMHf-1x7Y/edit?usp=sharing"",""แผน!EJ81"")"),0)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540</v>
      </c>
      <c r="J333" s="665">
        <f ca="1">J345+J348+J349+J350+J354</f>
        <v>931</v>
      </c>
      <c r="K333" s="666">
        <f ca="1">IF(I333&gt;0,J333*100/I333,0)</f>
        <v>172.40740740740742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103000</v>
      </c>
      <c r="M334" s="132">
        <f t="shared" ca="1" si="217"/>
        <v>108000</v>
      </c>
      <c r="N334" s="132">
        <f t="shared" ca="1" si="217"/>
        <v>23760.81</v>
      </c>
      <c r="O334" s="132">
        <f t="shared" ref="O334:O342" ca="1" si="218">IF(L334&gt;0,N334*100/L334,0)</f>
        <v>23.068747572815536</v>
      </c>
      <c r="P334" s="132">
        <f t="shared" ref="P334:P342" ca="1" si="219">IF(M334&gt;0,N334*100/M334,0)</f>
        <v>22.00075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103000</v>
      </c>
      <c r="M336" s="46">
        <f t="shared" ca="1" si="223"/>
        <v>108000</v>
      </c>
      <c r="N336" s="46">
        <f t="shared" ca="1" si="223"/>
        <v>23760.81</v>
      </c>
      <c r="O336" s="46">
        <f t="shared" ca="1" si="218"/>
        <v>23.068747572815536</v>
      </c>
      <c r="P336" s="46">
        <f t="shared" ca="1" si="219"/>
        <v>22.00075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103000</v>
      </c>
      <c r="M337" s="46">
        <f t="shared" ca="1" si="225"/>
        <v>108000</v>
      </c>
      <c r="N337" s="46">
        <f t="shared" ca="1" si="225"/>
        <v>23760.81</v>
      </c>
      <c r="O337" s="46">
        <f t="shared" ca="1" si="218"/>
        <v>23.068747572815536</v>
      </c>
      <c r="P337" s="46">
        <f t="shared" ca="1" si="219"/>
        <v>22.00075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IFERROR(__xludf.DUMMYFUNCTION("IMPORTRANGE(""https://docs.google.com/spreadsheets/d/1-uDff_7J0KD5mKrp0Vvzr7lt3OU09vwQwhkpOPPYv2Y/edit?usp=sharing"",""งบพรบ!ES81"")"),103000)</f>
        <v>103000</v>
      </c>
      <c r="M339" s="46">
        <f ca="1">IFERROR(__xludf.DUMMYFUNCTION("IMPORTRANGE(""https://docs.google.com/spreadsheets/d/1-uDff_7J0KD5mKrp0Vvzr7lt3OU09vwQwhkpOPPYv2Y/edit?usp=sharing"",""งบพรบ!EX81"")"),108000)</f>
        <v>108000</v>
      </c>
      <c r="N339" s="46">
        <f ca="1">IFERROR(__xludf.DUMMYFUNCTION("IMPORTRANGE(""https://docs.google.com/spreadsheets/d/1-uDff_7J0KD5mKrp0Vvzr7lt3OU09vwQwhkpOPPYv2Y/edit?usp=sharing"",""งบพรบ!EZ81"")"),23760.81)</f>
        <v>23760.81</v>
      </c>
      <c r="O339" s="46">
        <f t="shared" ca="1" si="218"/>
        <v>23.068747572815536</v>
      </c>
      <c r="P339" s="46">
        <f t="shared" ca="1" si="219"/>
        <v>22.00075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IFERROR(__xludf.DUMMYFUNCTION("IMPORTRANGE(""https://docs.google.com/spreadsheets/d/1-uDff_7J0KD5mKrp0Vvzr7lt3OU09vwQwhkpOPPYv2Y/edit?usp=sharing"",""งบพรบ!EV81"")"),0)</f>
        <v>0</v>
      </c>
      <c r="M342" s="46">
        <f ca="1">IFERROR(__xludf.DUMMYFUNCTION("IMPORTRANGE(""https://docs.google.com/spreadsheets/d/1-uDff_7J0KD5mKrp0Vvzr7lt3OU09vwQwhkpOPPYv2Y/edit?usp=sharing"",""งบพรบ!EY81"")"),0)</f>
        <v>0</v>
      </c>
      <c r="N342" s="46">
        <f ca="1">IFERROR(__xludf.DUMMYFUNCTION("IMPORTRANGE(""https://docs.google.com/spreadsheets/d/1-uDff_7J0KD5mKrp0Vvzr7lt3OU09vwQwhkpOPPYv2Y/edit?usp=sharing"",""งบพรบ!FA81"")"),0)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551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IFERROR(__xludf.DUMMYFUNCTION("IMPORTRANGE(""https://docs.google.com/spreadsheets/d/1eHaY18a8A9IcSdp1K8H6x8fbOy06t2VsZHhMHf-1x7Y/edit?usp=sharing"",""แผน!EK81"")"),540)</f>
        <v>540</v>
      </c>
      <c r="J345" s="152">
        <f ca="1">IFERROR(__xludf.DUMMYFUNCTION("IMPORTRANGE(""https://docs.google.com/spreadsheets/d/1awYsYK3VOup2i3Pq_Yjnu8DRu_mYwSBnCR2QPthd0rU/edit?usp=sharing"",""ศูนย์ยกเว้นโฉนด!D81"")"),543)</f>
        <v>543</v>
      </c>
      <c r="K345" s="46">
        <f ca="1">IF(I345&gt;0,J345*100/I345,0)</f>
        <v>100.55555555555556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IFERROR(__xludf.DUMMYFUNCTION("IMPORTRANGE(""https://docs.google.com/spreadsheets/d/1eHaY18a8A9IcSdp1K8H6x8fbOy06t2VsZHhMHf-1x7Y/edit?usp=sharing"",""แผน!EL81"")"),3)</f>
        <v>3</v>
      </c>
      <c r="J347" s="152">
        <f ca="1">IFERROR(__xludf.DUMMYFUNCTION("IMPORTRANGE(""https://docs.google.com/spreadsheets/d/1awYsYK3VOup2i3Pq_Yjnu8DRu_mYwSBnCR2QPthd0rU/edit?usp=sharing"",""ศูนย์รวม!E81"")"),2)</f>
        <v>2</v>
      </c>
      <c r="K347" s="46">
        <f ca="1">IF(I347&gt;0,J347*100/I347,0)</f>
        <v>66.666666666666671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IFERROR(__xludf.DUMMYFUNCTION("IMPORTRANGE(""https://docs.google.com/spreadsheets/d/1awYsYK3VOup2i3Pq_Yjnu8DRu_mYwSBnCR2QPthd0rU/edit?usp=sharing"",""ศูนย์ยกเว้นโฉนด!F81"")"),8)</f>
        <v>8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809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IFERROR(__xludf.DUMMYFUNCTION("IMPORTRANGE(""https://docs.google.com/spreadsheets/d/1awYsYK3VOup2i3Pq_Yjnu8DRu_mYwSBnCR2QPthd0rU/edit?usp=sharing"",""โฉนดM3!G81"")"),429)</f>
        <v>429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IFERROR(__xludf.DUMMYFUNCTION("IMPORTRANGE(""https://docs.google.com/spreadsheets/d/1awYsYK3VOup2i3Pq_Yjnu8DRu_mYwSBnCR2QPthd0rU/edit?usp=sharing"",""โฉนดM3!H81"")"),380)</f>
        <v>380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427090</v>
      </c>
      <c r="M357" s="132">
        <f t="shared" ca="1" si="229"/>
        <v>427090</v>
      </c>
      <c r="N357" s="132">
        <f t="shared" ca="1" si="229"/>
        <v>245808.67</v>
      </c>
      <c r="O357" s="132">
        <f t="shared" ref="O357:O365" ca="1" si="230">IF(L357&gt;0,N357*100/L357,0)</f>
        <v>57.554302371865418</v>
      </c>
      <c r="P357" s="132">
        <f t="shared" ref="P357:P365" ca="1" si="231">IF(M357&gt;0,N357*100/M357,0)</f>
        <v>57.554302371865418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427090</v>
      </c>
      <c r="M359" s="46">
        <f t="shared" ca="1" si="235"/>
        <v>427090</v>
      </c>
      <c r="N359" s="46">
        <f t="shared" ca="1" si="235"/>
        <v>245808.67</v>
      </c>
      <c r="O359" s="46">
        <f t="shared" ca="1" si="230"/>
        <v>57.554302371865418</v>
      </c>
      <c r="P359" s="46">
        <f t="shared" ca="1" si="231"/>
        <v>57.554302371865418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427090</v>
      </c>
      <c r="M360" s="46">
        <f t="shared" ca="1" si="237"/>
        <v>427090</v>
      </c>
      <c r="N360" s="46">
        <f t="shared" ca="1" si="237"/>
        <v>245808.67</v>
      </c>
      <c r="O360" s="46">
        <f t="shared" ca="1" si="230"/>
        <v>57.554302371865418</v>
      </c>
      <c r="P360" s="46">
        <f t="shared" ca="1" si="231"/>
        <v>57.554302371865418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IFERROR(__xludf.DUMMYFUNCTION("IMPORTRANGE(""https://docs.google.com/spreadsheets/d/1-uDff_7J0KD5mKrp0Vvzr7lt3OU09vwQwhkpOPPYv2Y/edit?usp=sharing"",""งบพรบ!FC81"")"),427090)</f>
        <v>427090</v>
      </c>
      <c r="M362" s="46">
        <f ca="1">IFERROR(__xludf.DUMMYFUNCTION("IMPORTRANGE(""https://docs.google.com/spreadsheets/d/1-uDff_7J0KD5mKrp0Vvzr7lt3OU09vwQwhkpOPPYv2Y/edit?usp=sharing"",""งบพรบ!FH81"")"),427090)</f>
        <v>427090</v>
      </c>
      <c r="N362" s="46">
        <f ca="1">IFERROR(__xludf.DUMMYFUNCTION("IMPORTRANGE(""https://docs.google.com/spreadsheets/d/1-uDff_7J0KD5mKrp0Vvzr7lt3OU09vwQwhkpOPPYv2Y/edit?usp=sharing"",""งบพรบ!FJ81"")"),245808.67)</f>
        <v>245808.67</v>
      </c>
      <c r="O362" s="46">
        <f t="shared" ca="1" si="230"/>
        <v>57.554302371865418</v>
      </c>
      <c r="P362" s="46">
        <f t="shared" ca="1" si="231"/>
        <v>57.554302371865418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IFERROR(__xludf.DUMMYFUNCTION("IMPORTRANGE(""https://docs.google.com/spreadsheets/d/1-uDff_7J0KD5mKrp0Vvzr7lt3OU09vwQwhkpOPPYv2Y/edit?usp=sharing"",""งบพรบ!FF81"")"),0)</f>
        <v>0</v>
      </c>
      <c r="M365" s="46">
        <f ca="1">IFERROR(__xludf.DUMMYFUNCTION("IMPORTRANGE(""https://docs.google.com/spreadsheets/d/1-uDff_7J0KD5mKrp0Vvzr7lt3OU09vwQwhkpOPPYv2Y/edit?usp=sharing"",""งบพรบ!FI81"")"),0)</f>
        <v>0</v>
      </c>
      <c r="N365" s="46">
        <f ca="1">IFERROR(__xludf.DUMMYFUNCTION("IMPORTRANGE(""https://docs.google.com/spreadsheets/d/1-uDff_7J0KD5mKrp0Vvzr7lt3OU09vwQwhkpOPPYv2Y/edit?usp=sharing"",""งบพรบ!FK81"")"),0)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43</v>
      </c>
      <c r="J366" s="235">
        <f t="shared" ca="1" si="241"/>
        <v>16</v>
      </c>
      <c r="K366" s="236">
        <f ca="1">IF(I366&gt;0,J366*100/I366,0)</f>
        <v>37.209302325581397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IFERROR(__xludf.DUMMYFUNCTION("IMPORTRANGE(""https://docs.google.com/spreadsheets/d/1tdoBKaGub7dwA3U6UFTqxio9LNnvDCQjHKmttSEBsFQ/edit?usp=sharing"",""จัดที่ดิน!AB81"")"),5)</f>
        <v>5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IFERROR(__xludf.DUMMYFUNCTION("IMPORTRANGE(""https://docs.google.com/spreadsheets/d/1eHaY18a8A9IcSdp1K8H6x8fbOy06t2VsZHhMHf-1x7Y/edit?usp=sharing"",""แผน!EW81"")"),310)</f>
        <v>310</v>
      </c>
      <c r="J369" s="676">
        <f ca="1">IFERROR(__xludf.DUMMYFUNCTION("IMPORTRANGE(""https://docs.google.com/spreadsheets/d/1tdoBKaGub7dwA3U6UFTqxio9LNnvDCQjHKmttSEBsFQ/edit?usp=sharing"",""จัดที่ดิน!AC81"")"),40.9199999999999)</f>
        <v>40.919999999999902</v>
      </c>
      <c r="K369" s="46">
        <f t="shared" ca="1" si="242"/>
        <v>13.199999999999967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IFERROR(__xludf.DUMMYFUNCTION("IMPORTRANGE(""https://docs.google.com/spreadsheets/d/1eHaY18a8A9IcSdp1K8H6x8fbOy06t2VsZHhMHf-1x7Y/edit?usp=sharing"",""แผน!EX81"")"),58)</f>
        <v>58</v>
      </c>
      <c r="J370" s="152">
        <f ca="1">IFERROR(__xludf.DUMMYFUNCTION("IMPORTRANGE(""https://docs.google.com/spreadsheets/d/1tdoBKaGub7dwA3U6UFTqxio9LNnvDCQjHKmttSEBsFQ/edit?usp=sharing"",""จัดที่ดิน!AD81"")"),16)</f>
        <v>16</v>
      </c>
      <c r="K370" s="46">
        <f t="shared" ca="1" si="242"/>
        <v>27.586206896551722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IFERROR(__xludf.DUMMYFUNCTION("IMPORTRANGE(""https://docs.google.com/spreadsheets/d/1tdoBKaGub7dwA3U6UFTqxio9LNnvDCQjHKmttSEBsFQ/edit?usp=sharing"",""จัดที่ดิน!AE81"")"),172.63)</f>
        <v>172.63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IFERROR(__xludf.DUMMYFUNCTION("IMPORTRANGE(""https://docs.google.com/spreadsheets/d/1eHaY18a8A9IcSdp1K8H6x8fbOy06t2VsZHhMHf-1x7Y/edit?usp=sharing"",""แผน!EY81"")"),43)</f>
        <v>43</v>
      </c>
      <c r="J372" s="152">
        <f ca="1">IFERROR(__xludf.DUMMYFUNCTION("IMPORTRANGE(""https://docs.google.com/spreadsheets/d/1tdoBKaGub7dwA3U6UFTqxio9LNnvDCQjHKmttSEBsFQ/edit?usp=sharing"",""จัดที่ดิน!AF81"")"),16)</f>
        <v>16</v>
      </c>
      <c r="K372" s="46">
        <f t="shared" ca="1" si="242"/>
        <v>37.209302325581397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IFERROR(__xludf.DUMMYFUNCTION("IMPORTRANGE(""https://docs.google.com/spreadsheets/d/1tdoBKaGub7dwA3U6UFTqxio9LNnvDCQjHKmttSEBsFQ/edit?usp=sharing"",""จัดที่ดิน!AG81"")"),172.63)</f>
        <v>172.63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I387+I389</f>
        <v>800</v>
      </c>
      <c r="J375" s="684">
        <f t="shared" ca="1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50000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50000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50000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IFERROR(__xludf.DUMMYFUNCTION("IMPORTRANGE(""https://docs.google.com/spreadsheets/d/1ItG2mGa2ceCfYo0BwxsXqNm01IGEUdYcSSLTEv9YCik/edit?usp=sharing"",""เบิกจ่ายกองทุน!AY81"")"),50000)</f>
        <v>50000</v>
      </c>
      <c r="R381" s="46">
        <f ca="1">IFERROR(__xludf.DUMMYFUNCTION("IMPORTRANGE(""https://docs.google.com/spreadsheets/d/1ItG2mGa2ceCfYo0BwxsXqNm01IGEUdYcSSLTEv9YCik/edit?usp=sharing"",""เบิกจ่ายกองทุน!AZ81"")"),0)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IFERROR(__xludf.DUMMYFUNCTION("IMPORTRANGE(""https://docs.google.com/spreadsheets/d/1ItG2mGa2ceCfYo0BwxsXqNm01IGEUdYcSSLTEv9YCik/edit?usp=sharing"",""เบิกจ่ายกองทุน!BA81"")"),0)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IFERROR(__xludf.DUMMYFUNCTION("IMPORTRANGE(""https://docs.google.com/spreadsheets/d/1w5rwWK1o49a35cNtocGL0gxDwhFSTZUQu90BiH9_zqM/edit?usp=sharing"",""RTK!H81"")"),0)</f>
        <v>0</v>
      </c>
      <c r="K386" s="46">
        <f t="shared" ref="K386:K389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IFERROR(__xludf.DUMMYFUNCTION("IMPORTRANGE(""https://docs.google.com/spreadsheets/d/1w5rwWK1o49a35cNtocGL0gxDwhFSTZUQu90BiH9_zqM/edit?usp=sharing"",""RTK!G81"")"),800)</f>
        <v>800</v>
      </c>
      <c r="J387" s="152">
        <f ca="1">IFERROR(__xludf.DUMMYFUNCTION("IMPORTRANGE(""https://docs.google.com/spreadsheets/d/1w5rwWK1o49a35cNtocGL0gxDwhFSTZUQu90BiH9_zqM/edit?usp=sharing"",""RTK!I81"")"),0)</f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88"/>
      <c r="B388" s="688"/>
      <c r="C388" s="688"/>
      <c r="D388" s="688"/>
      <c r="E388" s="689" t="s">
        <v>155</v>
      </c>
      <c r="F388" s="688"/>
      <c r="G388" s="690"/>
      <c r="H388" s="628" t="s">
        <v>34</v>
      </c>
      <c r="I388" s="691">
        <v>0</v>
      </c>
      <c r="J388" s="691">
        <f ca="1">IFERROR(__xludf.DUMMYFUNCTION("IMPORTRANGE(""https://docs.google.com/spreadsheets/d/1w5rwWK1o49a35cNtocGL0gxDwhFSTZUQu90BiH9_zqM/edit?usp=sharing"",""RTK!L81"")"),0)</f>
        <v>0</v>
      </c>
      <c r="K388" s="630">
        <f t="shared" si="256"/>
        <v>0</v>
      </c>
      <c r="L388" s="692"/>
      <c r="M388" s="624"/>
      <c r="N388" s="624"/>
      <c r="O388" s="624"/>
      <c r="P388" s="624"/>
      <c r="Q388" s="624"/>
      <c r="R388" s="624"/>
      <c r="S388" s="624"/>
      <c r="T388" s="624"/>
      <c r="U388" s="624"/>
    </row>
    <row r="389" spans="1:21" ht="18.75" x14ac:dyDescent="0.25">
      <c r="A389" s="688"/>
      <c r="B389" s="688"/>
      <c r="C389" s="688"/>
      <c r="D389" s="688"/>
      <c r="E389" s="688"/>
      <c r="F389" s="688"/>
      <c r="G389" s="690"/>
      <c r="H389" s="628" t="s">
        <v>46</v>
      </c>
      <c r="I389" s="691">
        <f ca="1">IFERROR(__xludf.DUMMYFUNCTION("IMPORTRANGE(""https://docs.google.com/spreadsheets/d/1w5rwWK1o49a35cNtocGL0gxDwhFSTZUQu90BiH9_zqM/edit?usp=sharing"",""RTK!K81"")"),0)</f>
        <v>0</v>
      </c>
      <c r="J389" s="691">
        <f ca="1">IFERROR(__xludf.DUMMYFUNCTION("IMPORTRANGE(""https://docs.google.com/spreadsheets/d/1w5rwWK1o49a35cNtocGL0gxDwhFSTZUQu90BiH9_zqM/edit?usp=sharing"",""RTK!M81"")"),0)</f>
        <v>0</v>
      </c>
      <c r="K389" s="630">
        <f t="shared" ca="1" si="256"/>
        <v>0</v>
      </c>
      <c r="L389" s="692"/>
      <c r="M389" s="624"/>
      <c r="N389" s="624"/>
      <c r="O389" s="624"/>
      <c r="P389" s="624"/>
      <c r="Q389" s="624"/>
      <c r="R389" s="624"/>
      <c r="S389" s="624"/>
      <c r="T389" s="624"/>
      <c r="U389" s="624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/>
      <c r="J390" s="254"/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/>
      <c r="J391" s="343"/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IFERROR(__xludf.DUMMYFUNCTION("IMPORTRANGE(""https://docs.google.com/spreadsheets/d/1ItG2mGa2ceCfYo0BwxsXqNm01IGEUdYcSSLTEv9YCik/edit?usp=sharing"",""เบิกจ่ายกองทุน!BH81"")"),0)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IFERROR(__xludf.DUMMYFUNCTION("IMPORTRANGE(""https://docs.google.com/spreadsheets/d/1ItG2mGa2ceCfYo0BwxsXqNm01IGEUdYcSSLTEv9YCik/edit?usp=sharing"",""เบิกจ่ายกองทุน!BI81"")"),0)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IFERROR(__xludf.DUMMYFUNCTION("IMPORTRANGE(""https://docs.google.com/spreadsheets/d/1ItG2mGa2ceCfYo0BwxsXqNm01IGEUdYcSSLTEv9YCik/edit?usp=sharing"",""เบิกจ่ายกองทุน!BJ81"")"),0)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IFERROR(__xludf.DUMMYFUNCTION("IMPORTRANGE(""https://docs.google.com/spreadsheets/d/1eHaY18a8A9IcSdp1K8H6x8fbOy06t2VsZHhMHf-1x7Y/edit?usp=sharing"",""แผน!HJ81"")"),0)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IFERROR(__xludf.DUMMYFUNCTION("IMPORTRANGE(""https://docs.google.com/spreadsheets/d/1eHaY18a8A9IcSdp1K8H6x8fbOy06t2VsZHhMHf-1x7Y/edit?usp=sharing"",""แผน!HK81"")"),0)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IFERROR(__xludf.DUMMYFUNCTION("IMPORTRANGE(""https://docs.google.com/spreadsheets/d/1eHaY18a8A9IcSdp1K8H6x8fbOy06t2VsZHhMHf-1x7Y/edit?usp=sharing"",""แผน!HJ81"")"),0)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IFERROR(__xludf.DUMMYFUNCTION("IMPORTRANGE(""https://docs.google.com/spreadsheets/d/1eHaY18a8A9IcSdp1K8H6x8fbOy06t2VsZHhMHf-1x7Y/edit?usp=sharing"",""แผน!HK81"")"),0)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IFERROR(__xludf.DUMMYFUNCTION("IMPORTRANGE(""https://docs.google.com/spreadsheets/d/1eHaY18a8A9IcSdp1K8H6x8fbOy06t2VsZHhMHf-1x7Y/edit?usp=sharing"",""แผน!HJ81"")"),0)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IFERROR(__xludf.DUMMYFUNCTION("IMPORTRANGE(""https://docs.google.com/spreadsheets/d/1eHaY18a8A9IcSdp1K8H6x8fbOy06t2VsZHhMHf-1x7Y/edit?usp=sharing"",""แผน!HK81"")"),0)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IFERROR(__xludf.DUMMYFUNCTION("IMPORTRANGE(""https://docs.google.com/spreadsheets/d/1eHaY18a8A9IcSdp1K8H6x8fbOy06t2VsZHhMHf-1x7Y/edit?usp=sharing"",""แผน!HL81"")"),0)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IFERROR(__xludf.DUMMYFUNCTION("IMPORTRANGE(""https://docs.google.com/spreadsheets/d/1eHaY18a8A9IcSdp1K8H6x8fbOy06t2VsZHhMHf-1x7Y/edit?usp=sharing"",""แผน!HM81"")"),0)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IFERROR(__xludf.DUMMYFUNCTION("IMPORTRANGE(""https://docs.google.com/spreadsheets/d/1eHaY18a8A9IcSdp1K8H6x8fbOy06t2VsZHhMHf-1x7Y/edit?usp=sharing"",""แผน!HN81"")"),0)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IFERROR(__xludf.DUMMYFUNCTION("IMPORTRANGE(""https://docs.google.com/spreadsheets/d/1eHaY18a8A9IcSdp1K8H6x8fbOy06t2VsZHhMHf-1x7Y/edit?usp=sharing"",""แผน!HO81"")"),0)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0</v>
      </c>
      <c r="R494" s="132">
        <f t="shared" ca="1" si="305"/>
        <v>0</v>
      </c>
      <c r="S494" s="132">
        <f t="shared" ca="1" si="305"/>
        <v>0</v>
      </c>
      <c r="T494" s="132">
        <f t="shared" ref="T494:T502" ca="1" si="306">IF(Q494&gt;0,S494*100/Q494,0)</f>
        <v>0</v>
      </c>
      <c r="U494" s="132">
        <f t="shared" ref="U494:U502" ca="1" si="307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0</v>
      </c>
      <c r="R496" s="46">
        <f t="shared" ca="1" si="309"/>
        <v>0</v>
      </c>
      <c r="S496" s="46">
        <f t="shared" ca="1" si="309"/>
        <v>0</v>
      </c>
      <c r="T496" s="46">
        <f t="shared" ca="1" si="306"/>
        <v>0</v>
      </c>
      <c r="U496" s="46">
        <f t="shared" ca="1" si="307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0</v>
      </c>
      <c r="R497" s="46">
        <f t="shared" ca="1" si="311"/>
        <v>0</v>
      </c>
      <c r="S497" s="46">
        <f t="shared" ca="1" si="311"/>
        <v>0</v>
      </c>
      <c r="T497" s="46">
        <f t="shared" ca="1" si="306"/>
        <v>0</v>
      </c>
      <c r="U497" s="46">
        <f t="shared" ca="1" si="307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IFERROR(__xludf.DUMMYFUNCTION("IMPORTRANGE(""https://docs.google.com/spreadsheets/d/1ItG2mGa2ceCfYo0BwxsXqNm01IGEUdYcSSLTEv9YCik/edit?usp=sharing"",""เบิกจ่ายกองทุน!X81"")"),0)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IFERROR(__xludf.DUMMYFUNCTION("IMPORTRANGE(""https://docs.google.com/spreadsheets/d/1ItG2mGa2ceCfYo0BwxsXqNm01IGEUdYcSSLTEv9YCik/edit?usp=sharing"",""เบิกจ่ายกองทุน!Y81"")"),0)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IFERROR(__xludf.DUMMYFUNCTION("IMPORTRANGE(""https://docs.google.com/spreadsheets/d/1ItG2mGa2ceCfYo0BwxsXqNm01IGEUdYcSSLTEv9YCik/edit?usp=sharing"",""เบิกจ่ายกองทุน!Z81"")"),0)</f>
        <v>0</v>
      </c>
      <c r="T499" s="46">
        <f t="shared" ca="1" si="306"/>
        <v>0</v>
      </c>
      <c r="U499" s="46">
        <f t="shared" ca="1" si="307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IFERROR(__xludf.DUMMYFUNCTION("IMPORTRANGE(""https://docs.google.com/spreadsheets/d/1eHaY18a8A9IcSdp1K8H6x8fbOy06t2VsZHhMHf-1x7Y/edit?usp=sharing"",""แผน!GX81"")"),0)</f>
        <v>0</v>
      </c>
      <c r="J504" s="147">
        <f ca="1">IF(AND(J505=I505,J506=I506,J507=I507,J508=I508),I504,0)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IFERROR(__xludf.DUMMYFUNCTION("IMPORTRANGE(""https://docs.google.com/spreadsheets/d/1eHaY18a8A9IcSdp1K8H6x8fbOy06t2VsZHhMHf-1x7Y/edit?usp=sharing"",""แผน!GY81"")"),0)</f>
        <v>0</v>
      </c>
      <c r="J505" s="168">
        <v>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IFERROR(__xludf.DUMMYFUNCTION("IMPORTRANGE(""https://docs.google.com/spreadsheets/d/1eHaY18a8A9IcSdp1K8H6x8fbOy06t2VsZHhMHf-1x7Y/edit?usp=sharing"",""แผน!GZ81"")"),0)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IFERROR(__xludf.DUMMYFUNCTION("IMPORTRANGE(""https://docs.google.com/spreadsheets/d/1eHaY18a8A9IcSdp1K8H6x8fbOy06t2VsZHhMHf-1x7Y/edit?usp=sharing"",""แผน!HA81"")"),0)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IFERROR(__xludf.DUMMYFUNCTION("IMPORTRANGE(""https://docs.google.com/spreadsheets/d/1eHaY18a8A9IcSdp1K8H6x8fbOy06t2VsZHhMHf-1x7Y/edit?usp=sharing"",""แผน!HB81"")"),0)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IFERROR(__xludf.DUMMYFUNCTION("IMPORTRANGE(""https://docs.google.com/spreadsheets/d/1eHaY18a8A9IcSdp1K8H6x8fbOy06t2VsZHhMHf-1x7Y/edit?usp=sharing"",""แผน!HC81"")"),0)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IFERROR(__xludf.DUMMYFUNCTION("IMPORTRANGE(""https://docs.google.com/spreadsheets/d/1-uDff_7J0KD5mKrp0Vvzr7lt3OU09vwQwhkpOPPYv2Y/edit?usp=sharing"",""งบพรบ!FM81"")"),0)</f>
        <v>0</v>
      </c>
      <c r="M519" s="46">
        <f ca="1">IFERROR(__xludf.DUMMYFUNCTION("IMPORTRANGE(""https://docs.google.com/spreadsheets/d/1-uDff_7J0KD5mKrp0Vvzr7lt3OU09vwQwhkpOPPYv2Y/edit?usp=sharing"",""งบพรบ!FR81"")"),0)</f>
        <v>0</v>
      </c>
      <c r="N519" s="46">
        <f ca="1">IFERROR(__xludf.DUMMYFUNCTION("IMPORTRANGE(""https://docs.google.com/spreadsheets/d/1-uDff_7J0KD5mKrp0Vvzr7lt3OU09vwQwhkpOPPYv2Y/edit?usp=sharing"",""งบพรบ!FT81"")"),0)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IFERROR(__xludf.DUMMYFUNCTION("IMPORTRANGE(""https://docs.google.com/spreadsheets/d/1-uDff_7J0KD5mKrp0Vvzr7lt3OU09vwQwhkpOPPYv2Y/edit?usp=sharing"",""งบพรบ!FP81"")"),0)</f>
        <v>0</v>
      </c>
      <c r="M522" s="46">
        <f ca="1">IFERROR(__xludf.DUMMYFUNCTION("IMPORTRANGE(""https://docs.google.com/spreadsheets/d/1-uDff_7J0KD5mKrp0Vvzr7lt3OU09vwQwhkpOPPYv2Y/edit?usp=sharing"",""งบพรบ!FS81"")"),0)</f>
        <v>0</v>
      </c>
      <c r="N522" s="46">
        <f ca="1">IFERROR(__xludf.DUMMYFUNCTION("IMPORTRANGE(""https://docs.google.com/spreadsheets/d/1-uDff_7J0KD5mKrp0Vvzr7lt3OU09vwQwhkpOPPYv2Y/edit?usp=sharing"",""งบพรบ!FU81"")"),0)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hidden="1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50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7300</v>
      </c>
      <c r="R617" s="132">
        <f t="shared" ca="1" si="384"/>
        <v>7300</v>
      </c>
      <c r="S617" s="132">
        <f t="shared" ca="1" si="384"/>
        <v>600</v>
      </c>
      <c r="T617" s="132">
        <f t="shared" ref="T617:T625" ca="1" si="385">IF(Q617&gt;0,S617*100/Q617,0)</f>
        <v>8.2191780821917817</v>
      </c>
      <c r="U617" s="132">
        <f t="shared" ref="U617:U625" ca="1" si="386">IF(R617&gt;0,S617*100/R617,0)</f>
        <v>8.2191780821917817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7300</v>
      </c>
      <c r="R619" s="46">
        <f t="shared" ca="1" si="388"/>
        <v>7300</v>
      </c>
      <c r="S619" s="46">
        <f t="shared" ca="1" si="388"/>
        <v>600</v>
      </c>
      <c r="T619" s="46">
        <f t="shared" ca="1" si="385"/>
        <v>8.2191780821917817</v>
      </c>
      <c r="U619" s="46">
        <f t="shared" ca="1" si="386"/>
        <v>8.2191780821917817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7300</v>
      </c>
      <c r="R620" s="46">
        <f t="shared" ca="1" si="390"/>
        <v>7300</v>
      </c>
      <c r="S620" s="46">
        <f t="shared" ca="1" si="390"/>
        <v>600</v>
      </c>
      <c r="T620" s="46">
        <f t="shared" ca="1" si="385"/>
        <v>8.2191780821917817</v>
      </c>
      <c r="U620" s="46">
        <f t="shared" ca="1" si="386"/>
        <v>8.2191780821917817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IFERROR(__xludf.DUMMYFUNCTION("IMPORTRANGE(""https://docs.google.com/spreadsheets/d/1ItG2mGa2ceCfYo0BwxsXqNm01IGEUdYcSSLTEv9YCik/edit?usp=sharing"",""เบิกจ่ายกองทุน!F81"")"),7300)</f>
        <v>7300</v>
      </c>
      <c r="R622" s="46">
        <f ca="1">IFERROR(__xludf.DUMMYFUNCTION("IMPORTRANGE(""https://docs.google.com/spreadsheets/d/1ItG2mGa2ceCfYo0BwxsXqNm01IGEUdYcSSLTEv9YCik/edit?usp=sharing"",""เบิกจ่ายกองทุน!G81"")"),7300)</f>
        <v>7300</v>
      </c>
      <c r="S622" s="46">
        <f ca="1">IFERROR(__xludf.DUMMYFUNCTION("IMPORTRANGE(""https://docs.google.com/spreadsheets/d/1ItG2mGa2ceCfYo0BwxsXqNm01IGEUdYcSSLTEv9YCik/edit?usp=sharing"",""เบิกจ่ายกองทุน!H81"")"),600)</f>
        <v>600</v>
      </c>
      <c r="T622" s="46">
        <f t="shared" ca="1" si="385"/>
        <v>8.2191780821917817</v>
      </c>
      <c r="U622" s="46">
        <f t="shared" ca="1" si="386"/>
        <v>8.2191780821917817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IFERROR(__xludf.DUMMYFUNCTION("IMPORTRANGE(""https://docs.google.com/spreadsheets/d/1eHaY18a8A9IcSdp1K8H6x8fbOy06t2VsZHhMHf-1x7Y/edit?usp=sharing"",""แผน!ID81"")"),50)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8">
        <v>0</v>
      </c>
      <c r="K628" s="46">
        <f t="shared" ref="K628:K629" ca="1" si="393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IFERROR(__xludf.DUMMYFUNCTION("IMPORTRANGE(""https://docs.google.com/spreadsheets/d/1eHaY18a8A9IcSdp1K8H6x8fbOy06t2VsZHhMHf-1x7Y/edit?usp=sharing"",""แผน!IC81"")"),1)</f>
        <v>1</v>
      </c>
      <c r="J629" s="168">
        <v>0</v>
      </c>
      <c r="K629" s="46">
        <f t="shared" ca="1" si="393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IFERROR(__xludf.DUMMYFUNCTION("IMPORTRANGE(""https://docs.google.com/spreadsheets/d/1eHaY18a8A9IcSdp1K8H6x8fbOy06t2VsZHhMHf-1x7Y/edit?usp=sharing"",""แผน!IE81"")"),0)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IFERROR(__xludf.DUMMYFUNCTION("IMPORTRANGE(""https://docs.google.com/spreadsheets/d/1ItG2mGa2ceCfYo0BwxsXqNm01IGEUdYcSSLTEv9YCik/edit?usp=sharing"",""เบิกจ่ายกองทุน!I81"")"),0)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IFERROR(__xludf.DUMMYFUNCTION("IMPORTRANGE(""https://docs.google.com/spreadsheets/d/1ItG2mGa2ceCfYo0BwxsXqNm01IGEUdYcSSLTEv9YCik/edit?usp=sharing"",""เบิกจ่ายกองทุน!J81"")"),0)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IFERROR(__xludf.DUMMYFUNCTION("IMPORTRANGE(""https://docs.google.com/spreadsheets/d/1ItG2mGa2ceCfYo0BwxsXqNm01IGEUdYcSSLTEv9YCik/edit?usp=sharing"",""เบิกจ่ายกองทุน!K81"")"),0)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IFERROR(__xludf.DUMMYFUNCTION("IMPORTRANGE(""https://docs.google.com/spreadsheets/d/1eHaY18a8A9IcSdp1K8H6x8fbOy06t2VsZHhMHf-1x7Y/edit?usp=sharing"",""แผน!IF81"")"),0)</f>
        <v>0</v>
      </c>
      <c r="J653" s="152">
        <f ca="1">IFERROR(__xludf.DUMMYFUNCTION("IMPORTRANGE(""https://docs.google.com/spreadsheets/d/1tdoBKaGub7dwA3U6UFTqxio9LNnvDCQjHKmttSEBsFQ/edit?usp=sharing"",""จัดที่ดิน!AU81"")"),0)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IFERROR(__xludf.DUMMYFUNCTION("IMPORTRANGE(""https://docs.google.com/spreadsheets/d/1eHaY18a8A9IcSdp1K8H6x8fbOy06t2VsZHhMHf-1x7Y/edit?usp=sharing"",""แผน!IG81"")"),0)</f>
        <v>0</v>
      </c>
      <c r="J654" s="152">
        <f ca="1">IFERROR(__xludf.DUMMYFUNCTION("IMPORTRANGE(""https://docs.google.com/spreadsheets/d/1tdoBKaGub7dwA3U6UFTqxio9LNnvDCQjHKmttSEBsFQ/edit?usp=sharing"",""จัดที่ดิน!AW81"")"),0)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IFERROR(__xludf.DUMMYFUNCTION("IMPORTRANGE(""https://docs.google.com/spreadsheets/d/1eHaY18a8A9IcSdp1K8H6x8fbOy06t2VsZHhMHf-1x7Y/edit?usp=sharing"",""แผน!IH81"")"),0)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IFERROR(__xludf.DUMMYFUNCTION("IMPORTRANGE(""https://docs.google.com/spreadsheets/d/1eHaY18a8A9IcSdp1K8H6x8fbOy06t2VsZHhMHf-1x7Y/edit?usp=sharing"",""แผน!II81"")"),0)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IFERROR(__xludf.DUMMYFUNCTION("IMPORTRANGE(""https://docs.google.com/spreadsheets/d/1eHaY18a8A9IcSdp1K8H6x8fbOy06t2VsZHhMHf-1x7Y/edit?usp=sharing"",""แผน!IJ81"")"),0)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IFERROR(__xludf.DUMMYFUNCTION("IMPORTRANGE(""https://docs.google.com/spreadsheets/d/1eHaY18a8A9IcSdp1K8H6x8fbOy06t2VsZHhMHf-1x7Y/edit?usp=sharing"",""แผน!IK81"")"),0)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IFERROR(__xludf.DUMMYFUNCTION("IMPORTRANGE(""https://docs.google.com/spreadsheets/d/1tdoBKaGub7dwA3U6UFTqxio9LNnvDCQjHKmttSEBsFQ/edit?usp=sharing"",""จัดที่ดิน!AY81"")"),0)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IFERROR(__xludf.DUMMYFUNCTION("IMPORTRANGE(""https://docs.google.com/spreadsheets/d/1tdoBKaGub7dwA3U6UFTqxio9LNnvDCQjHKmttSEBsFQ/edit?usp=sharing"",""จัดที่ดิน!AZ81"")"),0)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IFERROR(__xludf.DUMMYFUNCTION("IMPORTRANGE(""https://docs.google.com/spreadsheets/d/1eHaY18a8A9IcSdp1K8H6x8fbOy06t2VsZHhMHf-1x7Y/edit?usp=sharing"",""แผน!IL81"")"),0)</f>
        <v>0</v>
      </c>
      <c r="J674" s="152">
        <f ca="1">IFERROR(__xludf.DUMMYFUNCTION("IMPORTRANGE(""https://docs.google.com/spreadsheets/d/1tdoBKaGub7dwA3U6UFTqxio9LNnvDCQjHKmttSEBsFQ/edit?usp=sharing"",""จัดที่ดิน!BA81"")"),0)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IFERROR(__xludf.DUMMYFUNCTION("IMPORTRANGE(""https://docs.google.com/spreadsheets/d/1eHaY18a8A9IcSdp1K8H6x8fbOy06t2VsZHhMHf-1x7Y/edit?usp=sharing"",""แผน!IM81"")"),0)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IFERROR(__xludf.DUMMYFUNCTION("IMPORTRANGE(""https://docs.google.com/spreadsheets/d/1eHaY18a8A9IcSdp1K8H6x8fbOy06t2VsZHhMHf-1x7Y/edit?usp=sharing"",""แผน!IN81"")"),0)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IFERROR(__xludf.DUMMYFUNCTION("IMPORTRANGE(""https://docs.google.com/spreadsheets/d/1eHaY18a8A9IcSdp1K8H6x8fbOy06t2VsZHhMHf-1x7Y/edit?usp=sharing"",""แผน!IO81"")"),0)</f>
        <v>0</v>
      </c>
      <c r="J677" s="152">
        <f ca="1">IFERROR(__xludf.DUMMYFUNCTION("IMPORTRANGE(""https://docs.google.com/spreadsheets/d/1tdoBKaGub7dwA3U6UFTqxio9LNnvDCQjHKmttSEBsFQ/edit?usp=sharing"",""จัดที่ดิน!BF81"")"),0)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IFERROR(__xludf.DUMMYFUNCTION("IMPORTRANGE(""https://docs.google.com/spreadsheets/d/1tdoBKaGub7dwA3U6UFTqxio9LNnvDCQjHKmttSEBsFQ/edit?usp=sharing"",""จัดที่ดิน!BG81"")"),0)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IFERROR(__xludf.DUMMYFUNCTION("IMPORTRANGE(""https://docs.google.com/spreadsheets/d/1eHaY18a8A9IcSdp1K8H6x8fbOy06t2VsZHhMHf-1x7Y/edit?usp=sharing"",""แผน!IP81"")"),0)</f>
        <v>0</v>
      </c>
      <c r="J679" s="152">
        <f ca="1">IFERROR(__xludf.DUMMYFUNCTION("IMPORTRANGE(""https://docs.google.com/spreadsheets/d/1tdoBKaGub7dwA3U6UFTqxio9LNnvDCQjHKmttSEBsFQ/edit?usp=sharing"",""จัดที่ดิน!BH81"")"),0)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IFERROR(__xludf.DUMMYFUNCTION("IMPORTRANGE(""https://docs.google.com/spreadsheets/d/1eHaY18a8A9IcSdp1K8H6x8fbOy06t2VsZHhMHf-1x7Y/edit?usp=sharing"",""แผน!IQ81"")"),0)</f>
        <v>0</v>
      </c>
      <c r="J680" s="152">
        <f ca="1">IFERROR(__xludf.DUMMYFUNCTION("IMPORTRANGE(""https://docs.google.com/spreadsheets/d/1tdoBKaGub7dwA3U6UFTqxio9LNnvDCQjHKmttSEBsFQ/edit?usp=sharing"",""จัดที่ดิน!BK81"")"),0)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IFERROR(__xludf.DUMMYFUNCTION("IMPORTRANGE(""https://docs.google.com/spreadsheets/d/1tdoBKaGub7dwA3U6UFTqxio9LNnvDCQjHKmttSEBsFQ/edit?usp=sharing"",""จัดที่ดิน!BL81"")"),0)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IFERROR(__xludf.DUMMYFUNCTION("IMPORTRANGE(""https://docs.google.com/spreadsheets/d/1eHaY18a8A9IcSdp1K8H6x8fbOy06t2VsZHhMHf-1x7Y/edit?usp=sharing"",""แผน!IR81"")"),0)</f>
        <v>0</v>
      </c>
      <c r="J682" s="152">
        <f ca="1">IFERROR(__xludf.DUMMYFUNCTION("IMPORTRANGE(""https://docs.google.com/spreadsheets/d/1tdoBKaGub7dwA3U6UFTqxio9LNnvDCQjHKmttSEBsFQ/edit?usp=sharing"",""จัดที่ดิน!BM81"")"),0)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IFERROR(__xludf.DUMMYFUNCTION("IMPORTRANGE(""https://docs.google.com/spreadsheets/d/1eHaY18a8A9IcSdp1K8H6x8fbOy06t2VsZHhMHf-1x7Y/edit?usp=sharing"",""แผน!IS81"")"),0)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hidden="1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hidden="1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0</v>
      </c>
      <c r="R691" s="132">
        <f t="shared" ca="1" si="415"/>
        <v>0</v>
      </c>
      <c r="S691" s="132">
        <f t="shared" ca="1" si="415"/>
        <v>0</v>
      </c>
      <c r="T691" s="132">
        <f t="shared" ref="T691:T699" ca="1" si="416">IF(Q691&gt;0,S691*100/Q691,0)</f>
        <v>0</v>
      </c>
      <c r="U691" s="132">
        <f t="shared" ref="U691:U699" ca="1" si="417">IF(R691&gt;0,S691*100/R691,0)</f>
        <v>0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0</v>
      </c>
      <c r="R693" s="46">
        <f t="shared" ca="1" si="419"/>
        <v>0</v>
      </c>
      <c r="S693" s="46">
        <f t="shared" ca="1" si="419"/>
        <v>0</v>
      </c>
      <c r="T693" s="46">
        <f t="shared" ca="1" si="416"/>
        <v>0</v>
      </c>
      <c r="U693" s="46">
        <f t="shared" ca="1" si="417"/>
        <v>0</v>
      </c>
    </row>
    <row r="694" spans="1:21" ht="18.75" hidden="1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0</v>
      </c>
      <c r="R694" s="46">
        <f t="shared" ca="1" si="421"/>
        <v>0</v>
      </c>
      <c r="S694" s="46">
        <f t="shared" ca="1" si="421"/>
        <v>0</v>
      </c>
      <c r="T694" s="46">
        <f t="shared" ca="1" si="416"/>
        <v>0</v>
      </c>
      <c r="U694" s="46">
        <f t="shared" ca="1" si="417"/>
        <v>0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IFERROR(__xludf.DUMMYFUNCTION("IMPORTRANGE(""https://docs.google.com/spreadsheets/d/1ItG2mGa2ceCfYo0BwxsXqNm01IGEUdYcSSLTEv9YCik/edit?usp=sharing"",""เบิกจ่ายกองทุน!L81"")"),0)</f>
        <v>0</v>
      </c>
      <c r="R696" s="46">
        <f ca="1">IFERROR(__xludf.DUMMYFUNCTION("IMPORTRANGE(""https://docs.google.com/spreadsheets/d/1ItG2mGa2ceCfYo0BwxsXqNm01IGEUdYcSSLTEv9YCik/edit?usp=sharing"",""เบิกจ่ายกองทุน!M81"")"),0)</f>
        <v>0</v>
      </c>
      <c r="S696" s="46">
        <f ca="1">IFERROR(__xludf.DUMMYFUNCTION("IMPORTRANGE(""https://docs.google.com/spreadsheets/d/1ItG2mGa2ceCfYo0BwxsXqNm01IGEUdYcSSLTEv9YCik/edit?usp=sharing"",""เบิกจ่ายกองทุน!N81"")"),0)</f>
        <v>0</v>
      </c>
      <c r="T696" s="46">
        <f t="shared" ca="1" si="416"/>
        <v>0</v>
      </c>
      <c r="U696" s="46">
        <f t="shared" ca="1" si="417"/>
        <v>0</v>
      </c>
    </row>
    <row r="697" spans="1:21" ht="18.75" hidden="1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hidden="1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hidden="1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IFERROR(__xludf.DUMMYFUNCTION("IMPORTRANGE(""https://docs.google.com/spreadsheets/d/1eHaY18a8A9IcSdp1K8H6x8fbOy06t2VsZHhMHf-1x7Y/edit?usp=sharing"",""แผน!LC81"")"),0)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hidden="1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0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IFERROR(__xludf.DUMMYFUNCTION("IMPORTRANGE(""https://docs.google.com/spreadsheets/d/1eHaY18a8A9IcSdp1K8H6x8fbOy06t2VsZHhMHf-1x7Y/edit?usp=sharing"",""แผน!LJ81"")"),0)</f>
        <v>0</v>
      </c>
      <c r="J704" s="152">
        <f ca="1">IFERROR(__xludf.DUMMYFUNCTION("IMPORTRANGE(""https://docs.google.com/spreadsheets/d/1tdoBKaGub7dwA3U6UFTqxio9LNnvDCQjHKmttSEBsFQ/edit?usp=sharing"",""จัดที่ดิน!AP81"")"),0)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IFERROR(__xludf.DUMMYFUNCTION("IMPORTRANGE(""https://docs.google.com/spreadsheets/d/1tdoBKaGub7dwA3U6UFTqxio9LNnvDCQjHKmttSEBsFQ/edit?usp=sharing"",""จัดที่ดิน!AQ81"")"),0)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IFERROR(__xludf.DUMMYFUNCTION("IMPORTRANGE(""https://docs.google.com/spreadsheets/d/1eHaY18a8A9IcSdp1K8H6x8fbOy06t2VsZHhMHf-1x7Y/edit?usp=sharing"",""แผน!LK81"")"),0)</f>
        <v>0</v>
      </c>
      <c r="J706" s="152">
        <f ca="1">IFERROR(__xludf.DUMMYFUNCTION("IMPORTRANGE(""https://docs.google.com/spreadsheets/d/1tdoBKaGub7dwA3U6UFTqxio9LNnvDCQjHKmttSEBsFQ/edit?usp=sharing"",""จัดที่ดิน!AR81"")"),0)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IFERROR(__xludf.DUMMYFUNCTION("IMPORTRANGE(""https://docs.google.com/spreadsheets/d/1tdoBKaGub7dwA3U6UFTqxio9LNnvDCQjHKmttSEBsFQ/edit?usp=sharing"",""จัดที่ดิน!AS81"")"),0)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IFERROR(__xludf.DUMMYFUNCTION("IMPORTRANGE(""https://docs.google.com/spreadsheets/d/1eHaY18a8A9IcSdp1K8H6x8fbOy06t2VsZHhMHf-1x7Y/edit?usp=sharing"",""แผน!LJ81"")"),0)</f>
        <v>0</v>
      </c>
      <c r="J708" s="152">
        <f ca="1">IFERROR(__xludf.DUMMYFUNCTION("IMPORTRANGE(""https://docs.google.com/spreadsheets/d/1tdoBKaGub7dwA3U6UFTqxio9LNnvDCQjHKmttSEBsFQ/edit?usp=sharing"",""จัดที่ดิน!BN81"")"),0)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IFERROR(__xludf.DUMMYFUNCTION("IMPORTRANGE(""https://docs.google.com/spreadsheets/d/1tdoBKaGub7dwA3U6UFTqxio9LNnvDCQjHKmttSEBsFQ/edit?usp=sharing"",""จัดที่ดิน!BO81"")"),0)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IFERROR(__xludf.DUMMYFUNCTION("IMPORTRANGE(""https://docs.google.com/spreadsheets/d/1eHaY18a8A9IcSdp1K8H6x8fbOy06t2VsZHhMHf-1x7Y/edit?usp=sharing"",""แผน!LK81"")"),0)</f>
        <v>0</v>
      </c>
      <c r="J710" s="152">
        <f ca="1">IFERROR(__xludf.DUMMYFUNCTION("IMPORTRANGE(""https://docs.google.com/spreadsheets/d/1tdoBKaGub7dwA3U6UFTqxio9LNnvDCQjHKmttSEBsFQ/edit?usp=sharing"",""จัดที่ดิน!BP81"")"),0)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hidden="1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IFERROR(__xludf.DUMMYFUNCTION("IMPORTRANGE(""https://docs.google.com/spreadsheets/d/1tdoBKaGub7dwA3U6UFTqxio9LNnvDCQjHKmttSEBsFQ/edit?usp=sharing"",""จัดที่ดิน!BQ81"")"),0)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IFERROR(__xludf.DUMMYFUNCTION("IMPORTRANGE(""https://docs.google.com/spreadsheets/d/1eHaY18a8A9IcSdp1K8H6x8fbOy06t2VsZHhMHf-1x7Y/edit?usp=sharing"",""แผน!GA81"")"),16)</f>
        <v>16</v>
      </c>
      <c r="J727" s="448">
        <f>J743+J747+J750</f>
        <v>0</v>
      </c>
      <c r="K727" s="449">
        <f t="shared" ref="K727:K728" ca="1" si="438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IFERROR(__xludf.DUMMYFUNCTION("IMPORTRANGE(""https://docs.google.com/spreadsheets/d/1eHaY18a8A9IcSdp1K8H6x8fbOy06t2VsZHhMHf-1x7Y/edit?usp=sharing"",""แผน!FZ81"")"),150)</f>
        <v>150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143438</v>
      </c>
      <c r="R729" s="132">
        <f t="shared" ca="1" si="442"/>
        <v>143438</v>
      </c>
      <c r="S729" s="132">
        <f t="shared" ca="1" si="442"/>
        <v>0</v>
      </c>
      <c r="T729" s="132">
        <f t="shared" ref="T729:T737" ca="1" si="443">IF(Q729&gt;0,S729*100/Q729,0)</f>
        <v>0</v>
      </c>
      <c r="U729" s="132">
        <f t="shared" ref="U729:U737" ca="1" si="444">IF(R729&gt;0,S729*100/R729,0)</f>
        <v>0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143438</v>
      </c>
      <c r="R731" s="46">
        <f t="shared" ca="1" si="446"/>
        <v>143438</v>
      </c>
      <c r="S731" s="46">
        <f t="shared" ca="1" si="446"/>
        <v>0</v>
      </c>
      <c r="T731" s="46">
        <f t="shared" ca="1" si="443"/>
        <v>0</v>
      </c>
      <c r="U731" s="46">
        <f t="shared" ca="1" si="444"/>
        <v>0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143438</v>
      </c>
      <c r="R732" s="46">
        <f t="shared" ca="1" si="448"/>
        <v>143438</v>
      </c>
      <c r="S732" s="46">
        <f t="shared" ca="1" si="448"/>
        <v>0</v>
      </c>
      <c r="T732" s="46">
        <f t="shared" ca="1" si="443"/>
        <v>0</v>
      </c>
      <c r="U732" s="46">
        <f t="shared" ca="1" si="444"/>
        <v>0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4" s="46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4" s="46">
        <f ca="1">IFERROR(__xludf.DUMMYFUNCTION("IMPORTRANGE(""https://docs.google.com/spreadsheets/d/1ItG2mGa2ceCfYo0BwxsXqNm01IGEUdYcSSLTEv9YCik/edit?usp=sharing"",""เบิกจ่ายกองทุน!Q81"")"),0)</f>
        <v>0</v>
      </c>
      <c r="T734" s="46">
        <f t="shared" ca="1" si="443"/>
        <v>0</v>
      </c>
      <c r="U734" s="46">
        <f t="shared" ca="1" si="444"/>
        <v>0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36" t="s">
        <v>271</v>
      </c>
      <c r="G741" s="143"/>
      <c r="H741" s="133" t="s">
        <v>46</v>
      </c>
      <c r="I741" s="152">
        <f ca="1">IFERROR(__xludf.DUMMYFUNCTION("IMPORTRANGE(""https://docs.google.com/spreadsheets/d/1eHaY18a8A9IcSdp1K8H6x8fbOy06t2VsZHhMHf-1x7Y/edit?usp=sharing"",""แผน!GB81"")"),120)</f>
        <v>120</v>
      </c>
      <c r="J741" s="168">
        <v>0</v>
      </c>
      <c r="K741" s="46">
        <f ca="1">IF(I741&gt;0,J741*100/I741,0)</f>
        <v>0</v>
      </c>
      <c r="L741" s="522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IFERROR(__xludf.DUMMYFUNCTION("IMPORTRANGE(""https://docs.google.com/spreadsheets/d/1eHaY18a8A9IcSdp1K8H6x8fbOy06t2VsZHhMHf-1x7Y/edit?usp=sharing"",""แผน!GC81"")"),12)</f>
        <v>12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IFERROR(__xludf.DUMMYFUNCTION("IMPORTRANGE(""https://docs.google.com/spreadsheets/d/1eHaY18a8A9IcSdp1K8H6x8fbOy06t2VsZHhMHf-1x7Y/edit?usp=sharing"",""แผน!GD81"")"),30)</f>
        <v>30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IFERROR(__xludf.DUMMYFUNCTION("IMPORTRANGE(""https://docs.google.com/spreadsheets/d/1eHaY18a8A9IcSdp1K8H6x8fbOy06t2VsZHhMHf-1x7Y/edit?usp=sharing"",""แผน!GE81"")"),3)</f>
        <v>3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IFERROR(__xludf.DUMMYFUNCTION("IMPORTRANGE(""https://docs.google.com/spreadsheets/d/1eHaY18a8A9IcSdp1K8H6x8fbOy06t2VsZHhMHf-1x7Y/edit?usp=sharing"",""แผน!GF81"")"),1)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IFERROR(__xludf.DUMMYFUNCTION("IMPORTRANGE(""https://docs.google.com/spreadsheets/d/1eHaY18a8A9IcSdp1K8H6x8fbOy06t2VsZHhMHf-1x7Y/edit?usp=sharing"",""แผน!GB81"")"),120)</f>
        <v>120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IFERROR(__xludf.DUMMYFUNCTION("IMPORTRANGE(""https://docs.google.com/spreadsheets/d/1eHaY18a8A9IcSdp1K8H6x8fbOy06t2VsZHhMHf-1x7Y/edit?usp=sharing"",""แผน!GD81"")"),30)</f>
        <v>30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20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60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160660</v>
      </c>
      <c r="R761" s="132">
        <f t="shared" ca="1" si="457"/>
        <v>160660</v>
      </c>
      <c r="S761" s="132">
        <f t="shared" ca="1" si="457"/>
        <v>24880</v>
      </c>
      <c r="T761" s="132">
        <f t="shared" ref="T761:T769" ca="1" si="458">IF(Q761&gt;0,S761*100/Q761,0)</f>
        <v>15.486119756006474</v>
      </c>
      <c r="U761" s="132">
        <f t="shared" ref="U761:U769" ca="1" si="459">IF(R761&gt;0,S761*100/R761,0)</f>
        <v>15.486119756006474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160660</v>
      </c>
      <c r="R763" s="46">
        <f t="shared" ca="1" si="461"/>
        <v>160660</v>
      </c>
      <c r="S763" s="46">
        <f t="shared" ca="1" si="461"/>
        <v>24880</v>
      </c>
      <c r="T763" s="46">
        <f t="shared" ca="1" si="458"/>
        <v>15.486119756006474</v>
      </c>
      <c r="U763" s="46">
        <f t="shared" ca="1" si="459"/>
        <v>15.486119756006474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160660</v>
      </c>
      <c r="R764" s="46">
        <f t="shared" ca="1" si="463"/>
        <v>160660</v>
      </c>
      <c r="S764" s="46">
        <f t="shared" ca="1" si="463"/>
        <v>24880</v>
      </c>
      <c r="T764" s="46">
        <f t="shared" ca="1" si="458"/>
        <v>15.486119756006474</v>
      </c>
      <c r="U764" s="46">
        <f t="shared" ca="1" si="459"/>
        <v>15.486119756006474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IFERROR(__xludf.DUMMYFUNCTION("IMPORTRANGE(""https://docs.google.com/spreadsheets/d/1ItG2mGa2ceCfYo0BwxsXqNm01IGEUdYcSSLTEv9YCik/edit?usp=sharing"",""เบิกจ่ายกองทุน!U81"")"),160660)</f>
        <v>160660</v>
      </c>
      <c r="R766" s="46">
        <f ca="1">IFERROR(__xludf.DUMMYFUNCTION("IMPORTRANGE(""https://docs.google.com/spreadsheets/d/1ItG2mGa2ceCfYo0BwxsXqNm01IGEUdYcSSLTEv9YCik/edit?usp=sharing"",""เบิกจ่ายกองทุน!V81"")"),160660)</f>
        <v>160660</v>
      </c>
      <c r="S766" s="46">
        <f ca="1">IFERROR(__xludf.DUMMYFUNCTION("IMPORTRANGE(""https://docs.google.com/spreadsheets/d/1ItG2mGa2ceCfYo0BwxsXqNm01IGEUdYcSSLTEv9YCik/edit?usp=sharing"",""เบิกจ่ายกองทุน!W81"")"),24880)</f>
        <v>24880</v>
      </c>
      <c r="T766" s="46">
        <f t="shared" ca="1" si="458"/>
        <v>15.486119756006474</v>
      </c>
      <c r="U766" s="46">
        <f t="shared" ca="1" si="459"/>
        <v>15.486119756006474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IFERROR(__xludf.DUMMYFUNCTION("IMPORTRANGE(""https://docs.google.com/spreadsheets/d/1eHaY18a8A9IcSdp1K8H6x8fbOy06t2VsZHhMHf-1x7Y/edit?usp=sharing"",""แผน!FI81"")"),0)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IFERROR(__xludf.DUMMYFUNCTION("IMPORTRANGE(""https://docs.google.com/spreadsheets/d/1eHaY18a8A9IcSdp1K8H6x8fbOy06t2VsZHhMHf-1x7Y/edit?usp=sharing"",""แผน!FQ81"")"),20)</f>
        <v>20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IFERROR(__xludf.DUMMYFUNCTION("IMPORTRANGE(""https://docs.google.com/spreadsheets/d/1eHaY18a8A9IcSdp1K8H6x8fbOy06t2VsZHhMHf-1x7Y/edit?usp=sharing"",""แผน!FR81"")"),60)</f>
        <v>60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IFERROR(__xludf.DUMMYFUNCTION("IMPORTRANGE(""https://docs.google.com/spreadsheets/d/1eHaY18a8A9IcSdp1K8H6x8fbOy06t2VsZHhMHf-1x7Y/edit?usp=sharing"",""แผน!FS81"")"),60)</f>
        <v>60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IFERROR(__xludf.DUMMYFUNCTION("IMPORTRANGE(""https://docs.google.com/spreadsheets/d/1eHaY18a8A9IcSdp1K8H6x8fbOy06t2VsZHhMHf-1x7Y/edit?usp=sharing"",""แผน!FT81"")"),20)</f>
        <v>20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IFERROR(__xludf.DUMMYFUNCTION("IMPORTRANGE(""https://docs.google.com/spreadsheets/d/10OvvATaaLtwErnr3qtWFcTmtbfpFEt5Bsqel9sXx0uE/edit?usp=sharing"",""งานกองทุน!D81"")"),826714.82)</f>
        <v>826714.82</v>
      </c>
      <c r="J779" s="152">
        <f ca="1">IFERROR(__xludf.DUMMYFUNCTION("IMPORTRANGE(""https://docs.google.com/spreadsheets/d/10OvvATaaLtwErnr3qtWFcTmtbfpFEt5Bsqel9sXx0uE/edit?usp=sharing"",""งานกองทุน!F81"")"),366037.35)</f>
        <v>366037.35</v>
      </c>
      <c r="K779" s="46">
        <f t="shared" ref="K779:K786" ca="1" si="466">IF(I779&gt;0,J779*100/I779,0)</f>
        <v>44.276132608823929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IFERROR(__xludf.DUMMYFUNCTION("IMPORTRANGE(""https://docs.google.com/spreadsheets/d/10OvvATaaLtwErnr3qtWFcTmtbfpFEt5Bsqel9sXx0uE/edit?usp=sharing"",""งานกองทุน!C81"")"),63)</f>
        <v>63</v>
      </c>
      <c r="J780" s="152">
        <f ca="1">IFERROR(__xludf.DUMMYFUNCTION("IMPORTRANGE(""https://docs.google.com/spreadsheets/d/10OvvATaaLtwErnr3qtWFcTmtbfpFEt5Bsqel9sXx0uE/edit?usp=sharing"",""งานกองทุน!E81"")"),32)</f>
        <v>32</v>
      </c>
      <c r="K780" s="46">
        <f t="shared" ca="1" si="466"/>
        <v>50.793650793650791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1" s="152">
        <f ca="1">IFERROR(__xludf.DUMMYFUNCTION("IMPORTRANGE(""https://docs.google.com/spreadsheets/d/10OvvATaaLtwErnr3qtWFcTmtbfpFEt5Bsqel9sXx0uE/edit?usp=sharing"",""งานกองทุน!K81"")"),4471.08)</f>
        <v>4471.08</v>
      </c>
      <c r="K781" s="46">
        <f t="shared" ca="1" si="466"/>
        <v>1.8476395349932782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IFERROR(__xludf.DUMMYFUNCTION("IMPORTRANGE(""https://docs.google.com/spreadsheets/d/10OvvATaaLtwErnr3qtWFcTmtbfpFEt5Bsqel9sXx0uE/edit?usp=sharing"",""งานกองทุน!H81"")"),10)</f>
        <v>10</v>
      </c>
      <c r="J782" s="152">
        <f ca="1">IFERROR(__xludf.DUMMYFUNCTION("IMPORTRANGE(""https://docs.google.com/spreadsheets/d/10OvvATaaLtwErnr3qtWFcTmtbfpFEt5Bsqel9sXx0uE/edit?usp=sharing"",""งานกองทุน!J81"")"),4)</f>
        <v>4</v>
      </c>
      <c r="K782" s="46">
        <f t="shared" ca="1" si="466"/>
        <v>40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3" s="152">
        <f ca="1">IFERROR(__xludf.DUMMYFUNCTION("IMPORTRANGE(""https://docs.google.com/spreadsheets/d/10OvvATaaLtwErnr3qtWFcTmtbfpFEt5Bsqel9sXx0uE/edit?usp=sharing"",""งานกองทุน!P81"")"),3754.5)</f>
        <v>3754.5</v>
      </c>
      <c r="K783" s="46">
        <f t="shared" ca="1" si="466"/>
        <v>11.70205073413265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IFERROR(__xludf.DUMMYFUNCTION("IMPORTRANGE(""https://docs.google.com/spreadsheets/d/10OvvATaaLtwErnr3qtWFcTmtbfpFEt5Bsqel9sXx0uE/edit?usp=sharing"",""งานกองทุน!M81"")"),51)</f>
        <v>51</v>
      </c>
      <c r="J784" s="152">
        <f ca="1">IFERROR(__xludf.DUMMYFUNCTION("IMPORTRANGE(""https://docs.google.com/spreadsheets/d/10OvvATaaLtwErnr3qtWFcTmtbfpFEt5Bsqel9sXx0uE/edit?usp=sharing"",""งานกองทุน!O81"")"),8)</f>
        <v>8</v>
      </c>
      <c r="K784" s="46">
        <f t="shared" ca="1" si="466"/>
        <v>15.686274509803921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IFERROR(__xludf.DUMMYFUNCTION("IMPORTRANGE(""https://docs.google.com/spreadsheets/d/10OvvATaaLtwErnr3qtWFcTmtbfpFEt5Bsqel9sXx0uE/edit?usp=sharing"",""งานกองทุน!S81"")"),800000)</f>
        <v>800000</v>
      </c>
      <c r="J785" s="152">
        <f ca="1">IFERROR(__xludf.DUMMYFUNCTION("IMPORTRANGE(""https://docs.google.com/spreadsheets/d/10OvvATaaLtwErnr3qtWFcTmtbfpFEt5Bsqel9sXx0uE/edit?usp=sharing"",""งานกองทุน!U81"")"),0)</f>
        <v>0</v>
      </c>
      <c r="K785" s="46">
        <f t="shared" ca="1" si="466"/>
        <v>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IFERROR(__xludf.DUMMYFUNCTION("IMPORTRANGE(""https://docs.google.com/spreadsheets/d/10OvvATaaLtwErnr3qtWFcTmtbfpFEt5Bsqel9sXx0uE/edit?usp=sharing"",""งานกองทุน!R81"")"),27)</f>
        <v>27</v>
      </c>
      <c r="J786" s="204">
        <f ca="1">IFERROR(__xludf.DUMMYFUNCTION("IMPORTRANGE(""https://docs.google.com/spreadsheets/d/10OvvATaaLtwErnr3qtWFcTmtbfpFEt5Bsqel9sXx0uE/edit?usp=sharing"",""งานกองทุน!T81"")"),0)</f>
        <v>0</v>
      </c>
      <c r="K786" s="110">
        <f t="shared" ca="1" si="466"/>
        <v>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40220-FACF-4E3F-9FCD-56E6AF93E7A4}">
  <sheetPr>
    <outlinePr summaryBelow="0" summaryRight="0"/>
    <pageSetUpPr fitToPage="1"/>
  </sheetPr>
  <dimension ref="A1:U790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8.7109375" bestFit="1" customWidth="1"/>
    <col min="20" max="20" width="10.85546875" bestFit="1" customWidth="1"/>
    <col min="21" max="21" width="12" bestFit="1" customWidth="1"/>
  </cols>
  <sheetData>
    <row r="1" spans="1:21" ht="19.5" x14ac:dyDescent="0.3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</row>
    <row r="2" spans="1:21" ht="19.5" x14ac:dyDescent="0.3">
      <c r="A2" s="500" t="s">
        <v>320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</row>
    <row r="3" spans="1:21" ht="19.5" x14ac:dyDescent="0.3">
      <c r="A3" s="500" t="s">
        <v>327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4" spans="1:21" ht="19.5" x14ac:dyDescent="0.3">
      <c r="A4" s="500"/>
      <c r="B4" s="482"/>
      <c r="C4" s="482"/>
      <c r="D4" s="482"/>
      <c r="E4" s="482"/>
      <c r="F4" s="482"/>
      <c r="G4" s="482"/>
      <c r="H4" s="482"/>
      <c r="I4" s="501"/>
      <c r="J4" s="501"/>
      <c r="K4" s="501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4"/>
      <c r="K5" s="502"/>
      <c r="L5" s="503" t="s">
        <v>2</v>
      </c>
      <c r="M5" s="478"/>
      <c r="N5" s="478"/>
      <c r="O5" s="478"/>
      <c r="P5" s="479"/>
      <c r="Q5" s="504" t="s">
        <v>3</v>
      </c>
      <c r="R5" s="478"/>
      <c r="S5" s="478"/>
      <c r="T5" s="478"/>
      <c r="U5" s="479"/>
    </row>
    <row r="6" spans="1:21" ht="19.5" x14ac:dyDescent="0.3">
      <c r="A6" s="505" t="s">
        <v>4</v>
      </c>
      <c r="B6" s="482"/>
      <c r="C6" s="482"/>
      <c r="D6" s="482"/>
      <c r="E6" s="482"/>
      <c r="F6" s="482"/>
      <c r="G6" s="494"/>
      <c r="H6" s="506" t="s">
        <v>5</v>
      </c>
      <c r="I6" s="487" t="s">
        <v>6</v>
      </c>
      <c r="J6" s="478"/>
      <c r="K6" s="479"/>
      <c r="L6" s="507" t="s">
        <v>7</v>
      </c>
      <c r="M6" s="479"/>
      <c r="N6" s="477" t="s">
        <v>8</v>
      </c>
      <c r="O6" s="478"/>
      <c r="P6" s="479"/>
      <c r="Q6" s="480" t="s">
        <v>7</v>
      </c>
      <c r="R6" s="479"/>
      <c r="S6" s="477" t="s">
        <v>8</v>
      </c>
      <c r="T6" s="478"/>
      <c r="U6" s="479"/>
    </row>
    <row r="7" spans="1:21" ht="47.25" customHeight="1" x14ac:dyDescent="0.3">
      <c r="A7" s="495"/>
      <c r="B7" s="478"/>
      <c r="C7" s="478"/>
      <c r="D7" s="478"/>
      <c r="E7" s="478"/>
      <c r="F7" s="478"/>
      <c r="G7" s="479"/>
      <c r="H7" s="508"/>
      <c r="I7" s="8" t="s">
        <v>9</v>
      </c>
      <c r="J7" s="9" t="s">
        <v>10</v>
      </c>
      <c r="K7" s="8" t="s">
        <v>11</v>
      </c>
      <c r="L7" s="509" t="s">
        <v>12</v>
      </c>
      <c r="M7" s="11" t="s">
        <v>13</v>
      </c>
      <c r="N7" s="12" t="s">
        <v>14</v>
      </c>
      <c r="O7" s="10" t="s">
        <v>15</v>
      </c>
      <c r="P7" s="11" t="s">
        <v>16</v>
      </c>
      <c r="Q7" s="10" t="s">
        <v>12</v>
      </c>
      <c r="R7" s="11" t="s">
        <v>13</v>
      </c>
      <c r="S7" s="12" t="s">
        <v>14</v>
      </c>
      <c r="T7" s="10" t="s">
        <v>15</v>
      </c>
      <c r="U7" s="11" t="s">
        <v>16</v>
      </c>
    </row>
    <row r="8" spans="1:21" ht="12.75" hidden="1" x14ac:dyDescent="0.2">
      <c r="A8" s="510"/>
      <c r="B8" s="478"/>
      <c r="C8" s="478"/>
      <c r="D8" s="478"/>
      <c r="E8" s="478"/>
      <c r="F8" s="478"/>
      <c r="G8" s="479"/>
      <c r="H8" s="14"/>
      <c r="I8" s="15"/>
      <c r="J8" s="15"/>
      <c r="K8" s="16"/>
      <c r="L8" s="511"/>
      <c r="M8" s="16"/>
      <c r="N8" s="16"/>
      <c r="O8" s="16"/>
      <c r="P8" s="16"/>
      <c r="Q8" s="16"/>
      <c r="R8" s="16"/>
      <c r="S8" s="16"/>
      <c r="T8" s="16"/>
      <c r="U8" s="16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51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51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51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51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51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51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51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7"/>
      <c r="B16" s="18"/>
      <c r="C16" s="18"/>
      <c r="D16" s="18"/>
      <c r="E16" s="18"/>
      <c r="F16" s="18"/>
      <c r="G16" s="19"/>
      <c r="H16" s="19"/>
      <c r="I16" s="20"/>
      <c r="J16" s="20"/>
      <c r="K16" s="21"/>
      <c r="L16" s="512"/>
      <c r="M16" s="21"/>
      <c r="N16" s="21"/>
      <c r="O16" s="21"/>
      <c r="P16" s="21"/>
      <c r="Q16" s="21"/>
      <c r="R16" s="21"/>
      <c r="S16" s="21"/>
      <c r="T16" s="21"/>
      <c r="U16" s="21"/>
    </row>
    <row r="17" spans="1:21" ht="12.75" hidden="1" x14ac:dyDescent="0.2">
      <c r="A17" s="13"/>
      <c r="B17" s="22"/>
      <c r="C17" s="22"/>
      <c r="D17" s="22"/>
      <c r="E17" s="22"/>
      <c r="F17" s="22"/>
      <c r="G17" s="14"/>
      <c r="H17" s="14"/>
      <c r="I17" s="15"/>
      <c r="J17" s="15"/>
      <c r="K17" s="16"/>
      <c r="L17" s="511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9.5" x14ac:dyDescent="0.3">
      <c r="A18" s="497" t="s">
        <v>298</v>
      </c>
      <c r="B18" s="478"/>
      <c r="C18" s="478"/>
      <c r="D18" s="478"/>
      <c r="E18" s="478"/>
      <c r="F18" s="478"/>
      <c r="G18" s="479"/>
      <c r="H18" s="23"/>
      <c r="I18" s="24"/>
      <c r="J18" s="24"/>
      <c r="K18" s="25"/>
      <c r="L18" s="513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9.5" x14ac:dyDescent="0.3">
      <c r="A19" s="26"/>
      <c r="B19" s="27"/>
      <c r="C19" s="124" t="s">
        <v>18</v>
      </c>
      <c r="D19" s="29" t="s">
        <v>19</v>
      </c>
      <c r="E19" s="27"/>
      <c r="F19" s="27"/>
      <c r="G19" s="30"/>
      <c r="H19" s="31" t="s">
        <v>14</v>
      </c>
      <c r="I19" s="32"/>
      <c r="J19" s="32"/>
      <c r="K19" s="33"/>
      <c r="L19" s="514">
        <f t="shared" ref="L19:N19" ca="1" si="0">L20+L21</f>
        <v>1815235</v>
      </c>
      <c r="M19" s="34">
        <f t="shared" ca="1" si="0"/>
        <v>1834535</v>
      </c>
      <c r="N19" s="34">
        <f t="shared" ca="1" si="0"/>
        <v>1260275.03</v>
      </c>
      <c r="O19" s="34">
        <f t="shared" ref="O19:O27" ca="1" si="1">IF(L19&gt;0,N19*100/L19,0)</f>
        <v>69.427651516194871</v>
      </c>
      <c r="P19" s="34">
        <f t="shared" ref="P19:P27" ca="1" si="2">IF(M19&gt;0,N19*100/M19,0)</f>
        <v>68.69724644119627</v>
      </c>
      <c r="Q19" s="34">
        <f t="shared" ref="Q19:S19" ca="1" si="3">Q20+Q21</f>
        <v>4820192.24</v>
      </c>
      <c r="R19" s="34">
        <f t="shared" ca="1" si="3"/>
        <v>4820192</v>
      </c>
      <c r="S19" s="34">
        <f t="shared" ca="1" si="3"/>
        <v>228363.83000000002</v>
      </c>
      <c r="T19" s="34">
        <f t="shared" ref="T19:T27" ca="1" si="4">IF(Q19&gt;0,S19*100/Q19,0)</f>
        <v>4.7376498411191994</v>
      </c>
      <c r="U19" s="34">
        <f t="shared" ref="U19:U27" ca="1" si="5">IF(R19&gt;0,S19*100/R19,0)</f>
        <v>4.7376500770093806</v>
      </c>
    </row>
    <row r="20" spans="1:21" ht="18.75" hidden="1" x14ac:dyDescent="0.25">
      <c r="A20" s="26"/>
      <c r="B20" s="27"/>
      <c r="C20" s="27"/>
      <c r="D20" s="27"/>
      <c r="E20" s="515" t="s">
        <v>20</v>
      </c>
      <c r="F20" s="27"/>
      <c r="G20" s="30"/>
      <c r="H20" s="516" t="s">
        <v>14</v>
      </c>
      <c r="I20" s="32"/>
      <c r="J20" s="32"/>
      <c r="K20" s="33"/>
      <c r="L20" s="517">
        <f t="shared" ref="L20:N21" si="6">L23+L26</f>
        <v>0</v>
      </c>
      <c r="M20" s="37">
        <f t="shared" si="6"/>
        <v>0</v>
      </c>
      <c r="N20" s="37">
        <f t="shared" si="6"/>
        <v>0</v>
      </c>
      <c r="O20" s="37">
        <f t="shared" si="1"/>
        <v>0</v>
      </c>
      <c r="P20" s="37">
        <f t="shared" si="2"/>
        <v>0</v>
      </c>
      <c r="Q20" s="37">
        <f t="shared" ref="Q20:S21" si="7">Q23+Q26</f>
        <v>0</v>
      </c>
      <c r="R20" s="37">
        <f t="shared" si="7"/>
        <v>0</v>
      </c>
      <c r="S20" s="37">
        <f t="shared" si="7"/>
        <v>0</v>
      </c>
      <c r="T20" s="37">
        <f t="shared" si="4"/>
        <v>0</v>
      </c>
      <c r="U20" s="37">
        <f t="shared" si="5"/>
        <v>0</v>
      </c>
    </row>
    <row r="21" spans="1:21" ht="18.75" hidden="1" x14ac:dyDescent="0.25">
      <c r="A21" s="26"/>
      <c r="B21" s="27"/>
      <c r="C21" s="27"/>
      <c r="D21" s="27"/>
      <c r="E21" s="35" t="s">
        <v>21</v>
      </c>
      <c r="F21" s="27"/>
      <c r="G21" s="30"/>
      <c r="H21" s="36" t="s">
        <v>14</v>
      </c>
      <c r="I21" s="32"/>
      <c r="J21" s="32"/>
      <c r="K21" s="33"/>
      <c r="L21" s="518">
        <f t="shared" ca="1" si="6"/>
        <v>1815235</v>
      </c>
      <c r="M21" s="38">
        <f t="shared" ca="1" si="6"/>
        <v>1834535</v>
      </c>
      <c r="N21" s="38">
        <f t="shared" ca="1" si="6"/>
        <v>1260275.03</v>
      </c>
      <c r="O21" s="38">
        <f t="shared" ca="1" si="1"/>
        <v>69.427651516194871</v>
      </c>
      <c r="P21" s="38">
        <f t="shared" ca="1" si="2"/>
        <v>68.69724644119627</v>
      </c>
      <c r="Q21" s="38">
        <f t="shared" ca="1" si="7"/>
        <v>4820192.24</v>
      </c>
      <c r="R21" s="38">
        <f t="shared" ca="1" si="7"/>
        <v>4820192</v>
      </c>
      <c r="S21" s="38">
        <f t="shared" ca="1" si="7"/>
        <v>228363.83000000002</v>
      </c>
      <c r="T21" s="38">
        <f t="shared" ca="1" si="4"/>
        <v>4.7376498411191994</v>
      </c>
      <c r="U21" s="38">
        <f t="shared" ca="1" si="5"/>
        <v>4.7376500770093806</v>
      </c>
    </row>
    <row r="22" spans="1:21" ht="18.75" x14ac:dyDescent="0.25">
      <c r="A22" s="39"/>
      <c r="B22" s="199"/>
      <c r="C22" s="199"/>
      <c r="D22" s="41" t="s">
        <v>22</v>
      </c>
      <c r="E22" s="199"/>
      <c r="F22" s="199"/>
      <c r="G22" s="42"/>
      <c r="H22" s="43" t="s">
        <v>14</v>
      </c>
      <c r="I22" s="44"/>
      <c r="J22" s="44"/>
      <c r="K22" s="45"/>
      <c r="L22" s="519">
        <f t="shared" ref="L22:N22" ca="1" si="8">L23+L24</f>
        <v>1815235</v>
      </c>
      <c r="M22" s="46">
        <f t="shared" ca="1" si="8"/>
        <v>1834535</v>
      </c>
      <c r="N22" s="46">
        <f t="shared" ca="1" si="8"/>
        <v>1260275.03</v>
      </c>
      <c r="O22" s="46">
        <f t="shared" ca="1" si="1"/>
        <v>69.427651516194871</v>
      </c>
      <c r="P22" s="46">
        <f t="shared" ca="1" si="2"/>
        <v>68.69724644119627</v>
      </c>
      <c r="Q22" s="46">
        <f t="shared" ref="Q22:S22" ca="1" si="9">Q23+Q24</f>
        <v>4820192.24</v>
      </c>
      <c r="R22" s="46">
        <f t="shared" ca="1" si="9"/>
        <v>4820192</v>
      </c>
      <c r="S22" s="46">
        <f t="shared" ca="1" si="9"/>
        <v>228363.83000000002</v>
      </c>
      <c r="T22" s="46">
        <f t="shared" ca="1" si="4"/>
        <v>4.7376498411191994</v>
      </c>
      <c r="U22" s="46">
        <f t="shared" ca="1" si="5"/>
        <v>4.7376500770093806</v>
      </c>
    </row>
    <row r="23" spans="1:21" ht="18.75" hidden="1" x14ac:dyDescent="0.25">
      <c r="A23" s="39"/>
      <c r="B23" s="199"/>
      <c r="C23" s="199"/>
      <c r="D23" s="199"/>
      <c r="E23" s="157" t="s">
        <v>20</v>
      </c>
      <c r="F23" s="199"/>
      <c r="G23" s="42"/>
      <c r="H23" s="520" t="s">
        <v>14</v>
      </c>
      <c r="I23" s="44"/>
      <c r="J23" s="44"/>
      <c r="K23" s="45"/>
      <c r="L23" s="521">
        <f t="shared" ref="L23:N24" si="10">L49+L64+L77+L99+L130+L144+L162+L191+L178+L271+L287+L308+L325+L338+L361+L518</f>
        <v>0</v>
      </c>
      <c r="M23" s="48">
        <f t="shared" si="10"/>
        <v>0</v>
      </c>
      <c r="N23" s="48">
        <f t="shared" si="10"/>
        <v>0</v>
      </c>
      <c r="O23" s="48">
        <f t="shared" si="1"/>
        <v>0</v>
      </c>
      <c r="P23" s="48">
        <f t="shared" si="2"/>
        <v>0</v>
      </c>
      <c r="Q23" s="48">
        <f t="shared" ref="Q23:S24" si="11">Q77+Q99+Q122+Q144+Q162+Q178+Q191+Q271+Q287+Q308+Q338+Q380+Q397+Q418+Q498+Q604+Q621+Q647+Q695+Q719+Q733+Q765</f>
        <v>0</v>
      </c>
      <c r="R23" s="48">
        <f t="shared" si="11"/>
        <v>0</v>
      </c>
      <c r="S23" s="48">
        <f t="shared" si="11"/>
        <v>0</v>
      </c>
      <c r="T23" s="48">
        <f t="shared" si="4"/>
        <v>0</v>
      </c>
      <c r="U23" s="48">
        <f t="shared" si="5"/>
        <v>0</v>
      </c>
    </row>
    <row r="24" spans="1:21" ht="18.75" hidden="1" x14ac:dyDescent="0.25">
      <c r="A24" s="39"/>
      <c r="B24" s="199"/>
      <c r="C24" s="199"/>
      <c r="D24" s="199"/>
      <c r="E24" s="270" t="s">
        <v>21</v>
      </c>
      <c r="F24" s="199"/>
      <c r="G24" s="42"/>
      <c r="H24" s="43" t="s">
        <v>14</v>
      </c>
      <c r="I24" s="44"/>
      <c r="J24" s="44"/>
      <c r="K24" s="45"/>
      <c r="L24" s="519">
        <f t="shared" ca="1" si="10"/>
        <v>1815235</v>
      </c>
      <c r="M24" s="46">
        <f t="shared" ca="1" si="10"/>
        <v>1834535</v>
      </c>
      <c r="N24" s="46">
        <f t="shared" ca="1" si="10"/>
        <v>1260275.03</v>
      </c>
      <c r="O24" s="46">
        <f t="shared" ca="1" si="1"/>
        <v>69.427651516194871</v>
      </c>
      <c r="P24" s="46">
        <f t="shared" ca="1" si="2"/>
        <v>68.69724644119627</v>
      </c>
      <c r="Q24" s="46">
        <f t="shared" ca="1" si="11"/>
        <v>4820192.24</v>
      </c>
      <c r="R24" s="46">
        <f t="shared" ca="1" si="11"/>
        <v>4820192</v>
      </c>
      <c r="S24" s="46">
        <f t="shared" ca="1" si="11"/>
        <v>228363.83000000002</v>
      </c>
      <c r="T24" s="46">
        <f t="shared" ca="1" si="4"/>
        <v>4.7376498411191994</v>
      </c>
      <c r="U24" s="46">
        <f t="shared" ca="1" si="5"/>
        <v>4.7376500770093806</v>
      </c>
    </row>
    <row r="25" spans="1:21" ht="18.75" x14ac:dyDescent="0.25">
      <c r="A25" s="39"/>
      <c r="B25" s="199"/>
      <c r="C25" s="199"/>
      <c r="D25" s="41" t="s">
        <v>23</v>
      </c>
      <c r="E25" s="199"/>
      <c r="F25" s="199"/>
      <c r="G25" s="42"/>
      <c r="H25" s="43" t="s">
        <v>14</v>
      </c>
      <c r="I25" s="44"/>
      <c r="J25" s="44"/>
      <c r="K25" s="45"/>
      <c r="L25" s="519">
        <f t="shared" ref="L25:N25" ca="1" si="12">L26+L27</f>
        <v>0</v>
      </c>
      <c r="M25" s="46">
        <f t="shared" ca="1" si="12"/>
        <v>0</v>
      </c>
      <c r="N25" s="46">
        <f t="shared" ca="1" si="12"/>
        <v>0</v>
      </c>
      <c r="O25" s="46">
        <f t="shared" ca="1" si="1"/>
        <v>0</v>
      </c>
      <c r="P25" s="46">
        <f t="shared" ca="1" si="2"/>
        <v>0</v>
      </c>
      <c r="Q25" s="46">
        <f t="shared" ref="Q25:S25" si="13">Q26+Q27</f>
        <v>0</v>
      </c>
      <c r="R25" s="46">
        <f t="shared" si="13"/>
        <v>0</v>
      </c>
      <c r="S25" s="46">
        <f t="shared" si="13"/>
        <v>0</v>
      </c>
      <c r="T25" s="46">
        <f t="shared" si="4"/>
        <v>0</v>
      </c>
      <c r="U25" s="46">
        <f t="shared" si="5"/>
        <v>0</v>
      </c>
    </row>
    <row r="26" spans="1:21" ht="18.75" hidden="1" x14ac:dyDescent="0.25">
      <c r="A26" s="39"/>
      <c r="B26" s="199"/>
      <c r="C26" s="199"/>
      <c r="D26" s="199"/>
      <c r="E26" s="157" t="s">
        <v>20</v>
      </c>
      <c r="F26" s="199"/>
      <c r="G26" s="42"/>
      <c r="H26" s="520" t="s">
        <v>14</v>
      </c>
      <c r="I26" s="44"/>
      <c r="J26" s="44"/>
      <c r="K26" s="45"/>
      <c r="L26" s="521">
        <f t="shared" ref="L26:N27" si="14">L52+L67+L80+L102+L133+L147+L165+L194+L181+L274+L290+L311+L328+L341+L364+L521</f>
        <v>0</v>
      </c>
      <c r="M26" s="48">
        <f t="shared" si="14"/>
        <v>0</v>
      </c>
      <c r="N26" s="48">
        <f t="shared" si="14"/>
        <v>0</v>
      </c>
      <c r="O26" s="48">
        <f t="shared" si="1"/>
        <v>0</v>
      </c>
      <c r="P26" s="48">
        <f t="shared" si="2"/>
        <v>0</v>
      </c>
      <c r="Q26" s="48">
        <f t="shared" ref="Q26:S27" si="15">Q80+Q102+Q125+Q147+Q165+Q181+Q194+Q274+Q290+Q311+Q341+Q383+Q400+Q421+Q501+Q607+Q624+Q650+Q698+Q722+Q736+Q768</f>
        <v>0</v>
      </c>
      <c r="R26" s="48">
        <f t="shared" si="15"/>
        <v>0</v>
      </c>
      <c r="S26" s="48">
        <f t="shared" si="15"/>
        <v>0</v>
      </c>
      <c r="T26" s="48">
        <f t="shared" si="4"/>
        <v>0</v>
      </c>
      <c r="U26" s="48">
        <f t="shared" si="5"/>
        <v>0</v>
      </c>
    </row>
    <row r="27" spans="1:21" ht="18.75" hidden="1" x14ac:dyDescent="0.25">
      <c r="A27" s="39"/>
      <c r="B27" s="199"/>
      <c r="C27" s="199"/>
      <c r="D27" s="199"/>
      <c r="E27" s="270" t="s">
        <v>21</v>
      </c>
      <c r="F27" s="199"/>
      <c r="G27" s="42"/>
      <c r="H27" s="43" t="s">
        <v>14</v>
      </c>
      <c r="I27" s="44"/>
      <c r="J27" s="44"/>
      <c r="K27" s="45"/>
      <c r="L27" s="519">
        <f t="shared" ca="1" si="14"/>
        <v>0</v>
      </c>
      <c r="M27" s="46">
        <f t="shared" ca="1" si="14"/>
        <v>0</v>
      </c>
      <c r="N27" s="46">
        <f t="shared" ca="1" si="14"/>
        <v>0</v>
      </c>
      <c r="O27" s="46">
        <f t="shared" ca="1" si="1"/>
        <v>0</v>
      </c>
      <c r="P27" s="46">
        <f t="shared" ca="1" si="2"/>
        <v>0</v>
      </c>
      <c r="Q27" s="48">
        <f t="shared" si="15"/>
        <v>0</v>
      </c>
      <c r="R27" s="48">
        <f t="shared" si="15"/>
        <v>0</v>
      </c>
      <c r="S27" s="48">
        <f t="shared" si="15"/>
        <v>0</v>
      </c>
      <c r="T27" s="46">
        <f t="shared" si="4"/>
        <v>0</v>
      </c>
      <c r="U27" s="46">
        <f t="shared" si="5"/>
        <v>0</v>
      </c>
    </row>
    <row r="28" spans="1:21" ht="18.75" x14ac:dyDescent="0.25">
      <c r="A28" s="39"/>
      <c r="B28" s="199"/>
      <c r="C28" s="199"/>
      <c r="D28" s="41" t="s">
        <v>24</v>
      </c>
      <c r="E28" s="199"/>
      <c r="F28" s="199"/>
      <c r="G28" s="42"/>
      <c r="H28" s="43" t="s">
        <v>14</v>
      </c>
      <c r="I28" s="44"/>
      <c r="J28" s="44"/>
      <c r="K28" s="45"/>
      <c r="L28" s="522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39"/>
      <c r="B29" s="199"/>
      <c r="C29" s="199"/>
      <c r="D29" s="199"/>
      <c r="E29" s="157" t="s">
        <v>20</v>
      </c>
      <c r="F29" s="199"/>
      <c r="G29" s="42"/>
      <c r="H29" s="520" t="s">
        <v>14</v>
      </c>
      <c r="I29" s="44"/>
      <c r="J29" s="44"/>
      <c r="K29" s="45"/>
      <c r="L29" s="522"/>
      <c r="M29" s="45"/>
      <c r="N29" s="45"/>
      <c r="O29" s="45"/>
      <c r="P29" s="45"/>
      <c r="Q29" s="45"/>
      <c r="R29" s="45"/>
      <c r="S29" s="45"/>
      <c r="T29" s="45"/>
      <c r="U29" s="45"/>
    </row>
    <row r="30" spans="1:21" ht="18.75" hidden="1" x14ac:dyDescent="0.25">
      <c r="A30" s="50"/>
      <c r="B30" s="2"/>
      <c r="C30" s="2"/>
      <c r="D30" s="2"/>
      <c r="E30" s="202" t="s">
        <v>21</v>
      </c>
      <c r="F30" s="2"/>
      <c r="G30" s="52"/>
      <c r="H30" s="53" t="s">
        <v>14</v>
      </c>
      <c r="I30" s="54"/>
      <c r="J30" s="54"/>
      <c r="K30" s="5"/>
      <c r="L30" s="523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hidden="1" x14ac:dyDescent="0.2">
      <c r="A31" s="510"/>
      <c r="B31" s="478"/>
      <c r="C31" s="478"/>
      <c r="D31" s="478"/>
      <c r="E31" s="478"/>
      <c r="F31" s="478"/>
      <c r="G31" s="479"/>
      <c r="H31" s="14"/>
      <c r="I31" s="15"/>
      <c r="J31" s="15"/>
      <c r="K31" s="16"/>
      <c r="L31" s="511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51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51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51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51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51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51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51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7"/>
      <c r="B39" s="18"/>
      <c r="C39" s="18"/>
      <c r="D39" s="18"/>
      <c r="E39" s="18"/>
      <c r="F39" s="18"/>
      <c r="G39" s="19"/>
      <c r="H39" s="19"/>
      <c r="I39" s="20"/>
      <c r="J39" s="20"/>
      <c r="K39" s="21"/>
      <c r="L39" s="512"/>
      <c r="M39" s="21"/>
      <c r="N39" s="21"/>
      <c r="O39" s="21"/>
      <c r="P39" s="21"/>
      <c r="Q39" s="21"/>
      <c r="R39" s="21"/>
      <c r="S39" s="21"/>
      <c r="T39" s="21"/>
      <c r="U39" s="21"/>
    </row>
    <row r="40" spans="1:21" ht="12.75" hidden="1" x14ac:dyDescent="0.2">
      <c r="A40" s="13"/>
      <c r="B40" s="22"/>
      <c r="C40" s="22"/>
      <c r="D40" s="22"/>
      <c r="E40" s="22"/>
      <c r="F40" s="22"/>
      <c r="G40" s="14"/>
      <c r="H40" s="14"/>
      <c r="I40" s="15"/>
      <c r="J40" s="15"/>
      <c r="K40" s="16"/>
      <c r="L40" s="511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9.5" hidden="1" x14ac:dyDescent="0.3">
      <c r="A41" s="55" t="s">
        <v>25</v>
      </c>
      <c r="B41" s="56"/>
      <c r="C41" s="56"/>
      <c r="D41" s="56"/>
      <c r="E41" s="56"/>
      <c r="F41" s="56"/>
      <c r="G41" s="57"/>
      <c r="H41" s="57"/>
      <c r="I41" s="58"/>
      <c r="J41" s="58"/>
      <c r="K41" s="59"/>
      <c r="L41" s="524">
        <f t="shared" ref="L41:N41" ca="1" si="16">L45+L60+L73+L95+L126+L140+L158+L174+L187+L267+L283+L304+L321+L334+L357</f>
        <v>1815235</v>
      </c>
      <c r="M41" s="525">
        <f t="shared" ca="1" si="16"/>
        <v>1834535</v>
      </c>
      <c r="N41" s="525">
        <f t="shared" ca="1" si="16"/>
        <v>1260275.03</v>
      </c>
      <c r="O41" s="525">
        <f ca="1">IF(L41&gt;0,N41*100/L41,0)</f>
        <v>69.427651516194871</v>
      </c>
      <c r="P41" s="525">
        <f ca="1">IF(M41&gt;0,N41*100/M41,0)</f>
        <v>68.69724644119627</v>
      </c>
      <c r="Q41" s="59"/>
      <c r="R41" s="59"/>
      <c r="S41" s="59"/>
      <c r="T41" s="59"/>
      <c r="U41" s="59"/>
    </row>
    <row r="42" spans="1:21" ht="19.5" x14ac:dyDescent="0.3">
      <c r="A42" s="60" t="s">
        <v>26</v>
      </c>
      <c r="B42" s="61"/>
      <c r="C42" s="61"/>
      <c r="D42" s="61"/>
      <c r="E42" s="61"/>
      <c r="F42" s="61"/>
      <c r="G42" s="61"/>
      <c r="H42" s="61"/>
      <c r="I42" s="62"/>
      <c r="J42" s="62"/>
      <c r="K42" s="63"/>
      <c r="L42" s="63"/>
      <c r="M42" s="63"/>
      <c r="N42" s="63"/>
      <c r="O42" s="63"/>
      <c r="P42" s="64"/>
      <c r="Q42" s="63"/>
      <c r="R42" s="63"/>
      <c r="S42" s="63"/>
      <c r="T42" s="63"/>
      <c r="U42" s="64"/>
    </row>
    <row r="43" spans="1:21" ht="19.5" x14ac:dyDescent="0.3">
      <c r="A43" s="65"/>
      <c r="B43" s="66" t="s">
        <v>27</v>
      </c>
      <c r="C43" s="65"/>
      <c r="D43" s="65"/>
      <c r="E43" s="65"/>
      <c r="F43" s="65"/>
      <c r="G43" s="67"/>
      <c r="H43" s="67"/>
      <c r="I43" s="68"/>
      <c r="J43" s="68"/>
      <c r="K43" s="69"/>
      <c r="L43" s="526"/>
      <c r="M43" s="69"/>
      <c r="N43" s="69"/>
      <c r="O43" s="69"/>
      <c r="P43" s="69"/>
      <c r="Q43" s="69"/>
      <c r="R43" s="69"/>
      <c r="S43" s="69"/>
      <c r="T43" s="69"/>
      <c r="U43" s="69"/>
    </row>
    <row r="44" spans="1:21" ht="12.75" hidden="1" x14ac:dyDescent="0.2">
      <c r="A44" s="17"/>
      <c r="B44" s="18"/>
      <c r="C44" s="18"/>
      <c r="D44" s="18"/>
      <c r="E44" s="18"/>
      <c r="F44" s="18"/>
      <c r="G44" s="19"/>
      <c r="H44" s="19"/>
      <c r="I44" s="20"/>
      <c r="J44" s="20"/>
      <c r="K44" s="21"/>
      <c r="L44" s="512"/>
      <c r="M44" s="21"/>
      <c r="N44" s="21"/>
      <c r="O44" s="21"/>
      <c r="P44" s="21"/>
      <c r="Q44" s="21"/>
      <c r="R44" s="21"/>
      <c r="S44" s="21"/>
      <c r="T44" s="21"/>
      <c r="U44" s="21"/>
    </row>
    <row r="45" spans="1:21" ht="19.5" x14ac:dyDescent="0.3">
      <c r="A45" s="70"/>
      <c r="B45" s="71"/>
      <c r="C45" s="72" t="s">
        <v>18</v>
      </c>
      <c r="D45" s="527" t="s">
        <v>19</v>
      </c>
      <c r="E45" s="71"/>
      <c r="F45" s="71"/>
      <c r="G45" s="74"/>
      <c r="H45" s="75" t="s">
        <v>14</v>
      </c>
      <c r="I45" s="76"/>
      <c r="J45" s="76"/>
      <c r="K45" s="77"/>
      <c r="L45" s="528">
        <f t="shared" ref="L45:N45" ca="1" si="17">L46+L47</f>
        <v>376600</v>
      </c>
      <c r="M45" s="78">
        <f t="shared" ca="1" si="17"/>
        <v>381580</v>
      </c>
      <c r="N45" s="78">
        <f t="shared" ca="1" si="17"/>
        <v>267480</v>
      </c>
      <c r="O45" s="78">
        <f t="shared" ref="O45:O53" ca="1" si="18">IF(L45&gt;0,N45*100/L45,0)</f>
        <v>71.024960169941579</v>
      </c>
      <c r="P45" s="78">
        <f t="shared" ref="P45:P53" ca="1" si="19">IF(M45&gt;0,N45*100/M45,0)</f>
        <v>70.098013522721317</v>
      </c>
      <c r="Q45" s="78">
        <f t="shared" ref="Q45:S45" si="20">Q46+Q47</f>
        <v>0</v>
      </c>
      <c r="R45" s="78">
        <f t="shared" si="20"/>
        <v>0</v>
      </c>
      <c r="S45" s="78">
        <f t="shared" si="20"/>
        <v>0</v>
      </c>
      <c r="T45" s="78">
        <f t="shared" ref="T45:T53" si="21">IF(Q45&gt;0,S45*100/Q45,0)</f>
        <v>0</v>
      </c>
      <c r="U45" s="78">
        <f t="shared" ref="U45:U53" si="22">IF(R45&gt;0,S45*100/R45,0)</f>
        <v>0</v>
      </c>
    </row>
    <row r="46" spans="1:21" ht="18.75" hidden="1" x14ac:dyDescent="0.25">
      <c r="A46" s="70"/>
      <c r="B46" s="71"/>
      <c r="C46" s="71"/>
      <c r="D46" s="71"/>
      <c r="E46" s="529" t="s">
        <v>20</v>
      </c>
      <c r="F46" s="71"/>
      <c r="G46" s="74"/>
      <c r="H46" s="530" t="s">
        <v>14</v>
      </c>
      <c r="I46" s="76"/>
      <c r="J46" s="76"/>
      <c r="K46" s="77"/>
      <c r="L46" s="531">
        <f t="shared" ref="L46:N47" si="23">L49+L52</f>
        <v>0</v>
      </c>
      <c r="M46" s="81">
        <f t="shared" si="23"/>
        <v>0</v>
      </c>
      <c r="N46" s="81">
        <f t="shared" si="23"/>
        <v>0</v>
      </c>
      <c r="O46" s="81">
        <f t="shared" si="18"/>
        <v>0</v>
      </c>
      <c r="P46" s="81">
        <f t="shared" si="19"/>
        <v>0</v>
      </c>
      <c r="Q46" s="81">
        <f t="shared" ref="Q46:S47" si="24">Q49+Q52</f>
        <v>0</v>
      </c>
      <c r="R46" s="81">
        <f t="shared" si="24"/>
        <v>0</v>
      </c>
      <c r="S46" s="81">
        <f t="shared" si="24"/>
        <v>0</v>
      </c>
      <c r="T46" s="81">
        <f t="shared" si="21"/>
        <v>0</v>
      </c>
      <c r="U46" s="81">
        <f t="shared" si="22"/>
        <v>0</v>
      </c>
    </row>
    <row r="47" spans="1:21" ht="18.75" hidden="1" x14ac:dyDescent="0.25">
      <c r="A47" s="70"/>
      <c r="B47" s="71"/>
      <c r="C47" s="71"/>
      <c r="D47" s="71"/>
      <c r="E47" s="79" t="s">
        <v>21</v>
      </c>
      <c r="F47" s="71"/>
      <c r="G47" s="74"/>
      <c r="H47" s="80" t="s">
        <v>14</v>
      </c>
      <c r="I47" s="76"/>
      <c r="J47" s="76"/>
      <c r="K47" s="77"/>
      <c r="L47" s="532">
        <f t="shared" ca="1" si="23"/>
        <v>376600</v>
      </c>
      <c r="M47" s="82">
        <f t="shared" ca="1" si="23"/>
        <v>381580</v>
      </c>
      <c r="N47" s="82">
        <f t="shared" ca="1" si="23"/>
        <v>267480</v>
      </c>
      <c r="O47" s="82">
        <f t="shared" ca="1" si="18"/>
        <v>71.024960169941579</v>
      </c>
      <c r="P47" s="82">
        <f t="shared" ca="1" si="19"/>
        <v>70.098013522721317</v>
      </c>
      <c r="Q47" s="82">
        <f t="shared" si="24"/>
        <v>0</v>
      </c>
      <c r="R47" s="82">
        <f t="shared" si="24"/>
        <v>0</v>
      </c>
      <c r="S47" s="82">
        <f t="shared" si="24"/>
        <v>0</v>
      </c>
      <c r="T47" s="82">
        <f t="shared" si="21"/>
        <v>0</v>
      </c>
      <c r="U47" s="82">
        <f t="shared" si="22"/>
        <v>0</v>
      </c>
    </row>
    <row r="48" spans="1:21" ht="18.75" x14ac:dyDescent="0.25">
      <c r="A48" s="39"/>
      <c r="B48" s="199"/>
      <c r="C48" s="199"/>
      <c r="D48" s="41" t="s">
        <v>22</v>
      </c>
      <c r="E48" s="199"/>
      <c r="F48" s="199"/>
      <c r="G48" s="42"/>
      <c r="H48" s="43" t="s">
        <v>14</v>
      </c>
      <c r="I48" s="44"/>
      <c r="J48" s="44"/>
      <c r="K48" s="45"/>
      <c r="L48" s="519">
        <f t="shared" ref="L48:N48" ca="1" si="25">L49+L50</f>
        <v>376600</v>
      </c>
      <c r="M48" s="46">
        <f t="shared" ca="1" si="25"/>
        <v>381580</v>
      </c>
      <c r="N48" s="46">
        <f t="shared" ca="1" si="25"/>
        <v>267480</v>
      </c>
      <c r="O48" s="46">
        <f t="shared" ca="1" si="18"/>
        <v>71.024960169941579</v>
      </c>
      <c r="P48" s="46">
        <f t="shared" ca="1" si="19"/>
        <v>70.098013522721317</v>
      </c>
      <c r="Q48" s="46">
        <f t="shared" ref="Q48:S48" si="26">Q49+Q50</f>
        <v>0</v>
      </c>
      <c r="R48" s="46">
        <f t="shared" si="26"/>
        <v>0</v>
      </c>
      <c r="S48" s="46">
        <f t="shared" si="26"/>
        <v>0</v>
      </c>
      <c r="T48" s="46">
        <f t="shared" si="21"/>
        <v>0</v>
      </c>
      <c r="U48" s="46">
        <f t="shared" si="22"/>
        <v>0</v>
      </c>
    </row>
    <row r="49" spans="1:21" ht="18.75" hidden="1" x14ac:dyDescent="0.25">
      <c r="A49" s="39"/>
      <c r="B49" s="199"/>
      <c r="C49" s="199"/>
      <c r="D49" s="199"/>
      <c r="E49" s="157" t="s">
        <v>20</v>
      </c>
      <c r="F49" s="199"/>
      <c r="G49" s="42"/>
      <c r="H49" s="520" t="s">
        <v>14</v>
      </c>
      <c r="I49" s="44"/>
      <c r="J49" s="44"/>
      <c r="K49" s="45"/>
      <c r="L49" s="521">
        <v>0</v>
      </c>
      <c r="M49" s="48">
        <v>0</v>
      </c>
      <c r="N49" s="48">
        <v>0</v>
      </c>
      <c r="O49" s="48">
        <f t="shared" si="18"/>
        <v>0</v>
      </c>
      <c r="P49" s="48">
        <f t="shared" si="19"/>
        <v>0</v>
      </c>
      <c r="Q49" s="48">
        <v>0</v>
      </c>
      <c r="R49" s="48">
        <v>0</v>
      </c>
      <c r="S49" s="48">
        <v>0</v>
      </c>
      <c r="T49" s="48">
        <f t="shared" si="21"/>
        <v>0</v>
      </c>
      <c r="U49" s="48">
        <f t="shared" si="22"/>
        <v>0</v>
      </c>
    </row>
    <row r="50" spans="1:21" ht="18.75" hidden="1" x14ac:dyDescent="0.25">
      <c r="A50" s="39"/>
      <c r="B50" s="199"/>
      <c r="C50" s="199"/>
      <c r="D50" s="199"/>
      <c r="E50" s="270" t="s">
        <v>21</v>
      </c>
      <c r="F50" s="199"/>
      <c r="G50" s="42"/>
      <c r="H50" s="43" t="s">
        <v>14</v>
      </c>
      <c r="I50" s="44"/>
      <c r="J50" s="44"/>
      <c r="K50" s="45"/>
      <c r="L50" s="519">
        <f ca="1">IFERROR(__xludf.DUMMYFUNCTION("IMPORTRANGE(""https://docs.google.com/spreadsheets/d/1-uDff_7J0KD5mKrp0Vvzr7lt3OU09vwQwhkpOPPYv2Y/edit?usp=sharing"",""งบพรบ!P82"")"),376600)</f>
        <v>376600</v>
      </c>
      <c r="M50" s="46">
        <f ca="1">IFERROR(__xludf.DUMMYFUNCTION("IMPORTRANGE(""https://docs.google.com/spreadsheets/d/1-uDff_7J0KD5mKrp0Vvzr7lt3OU09vwQwhkpOPPYv2Y/edit?usp=sharing"",""งบพรบ!V82"")"),381580)</f>
        <v>381580</v>
      </c>
      <c r="N50" s="46">
        <f ca="1">IFERROR(__xludf.DUMMYFUNCTION("IMPORTRANGE(""https://docs.google.com/spreadsheets/d/1-uDff_7J0KD5mKrp0Vvzr7lt3OU09vwQwhkpOPPYv2Y/edit?usp=sharing"",""งบพรบ!Y82"")"),267480)</f>
        <v>267480</v>
      </c>
      <c r="O50" s="46">
        <f t="shared" ca="1" si="18"/>
        <v>71.024960169941579</v>
      </c>
      <c r="P50" s="46">
        <f t="shared" ca="1" si="19"/>
        <v>70.098013522721317</v>
      </c>
      <c r="Q50" s="46">
        <v>0</v>
      </c>
      <c r="R50" s="46">
        <v>0</v>
      </c>
      <c r="S50" s="46">
        <v>0</v>
      </c>
      <c r="T50" s="46">
        <f t="shared" si="21"/>
        <v>0</v>
      </c>
      <c r="U50" s="46">
        <f t="shared" si="22"/>
        <v>0</v>
      </c>
    </row>
    <row r="51" spans="1:21" ht="18.75" x14ac:dyDescent="0.25">
      <c r="A51" s="39"/>
      <c r="B51" s="199"/>
      <c r="C51" s="199"/>
      <c r="D51" s="41" t="s">
        <v>23</v>
      </c>
      <c r="E51" s="199"/>
      <c r="F51" s="199"/>
      <c r="G51" s="42"/>
      <c r="H51" s="43" t="s">
        <v>14</v>
      </c>
      <c r="I51" s="44"/>
      <c r="J51" s="44"/>
      <c r="K51" s="45"/>
      <c r="L51" s="519">
        <f t="shared" ref="L51:N51" ca="1" si="27">L52+L53</f>
        <v>0</v>
      </c>
      <c r="M51" s="46">
        <f t="shared" ca="1" si="27"/>
        <v>0</v>
      </c>
      <c r="N51" s="46">
        <f t="shared" ca="1" si="27"/>
        <v>0</v>
      </c>
      <c r="O51" s="46">
        <f t="shared" ca="1" si="18"/>
        <v>0</v>
      </c>
      <c r="P51" s="46">
        <f t="shared" ca="1" si="19"/>
        <v>0</v>
      </c>
      <c r="Q51" s="46">
        <f t="shared" ref="Q51:S51" si="28">Q52+Q53</f>
        <v>0</v>
      </c>
      <c r="R51" s="46">
        <f t="shared" si="28"/>
        <v>0</v>
      </c>
      <c r="S51" s="46">
        <f t="shared" si="28"/>
        <v>0</v>
      </c>
      <c r="T51" s="46">
        <f t="shared" si="21"/>
        <v>0</v>
      </c>
      <c r="U51" s="46">
        <f t="shared" si="22"/>
        <v>0</v>
      </c>
    </row>
    <row r="52" spans="1:21" ht="18.75" hidden="1" x14ac:dyDescent="0.25">
      <c r="A52" s="39"/>
      <c r="B52" s="199"/>
      <c r="C52" s="199"/>
      <c r="D52" s="199"/>
      <c r="E52" s="157" t="s">
        <v>20</v>
      </c>
      <c r="F52" s="199"/>
      <c r="G52" s="42"/>
      <c r="H52" s="520" t="s">
        <v>14</v>
      </c>
      <c r="I52" s="44"/>
      <c r="J52" s="44"/>
      <c r="K52" s="45"/>
      <c r="L52" s="521">
        <v>0</v>
      </c>
      <c r="M52" s="48">
        <v>0</v>
      </c>
      <c r="N52" s="48">
        <v>0</v>
      </c>
      <c r="O52" s="48">
        <f t="shared" si="18"/>
        <v>0</v>
      </c>
      <c r="P52" s="48">
        <f t="shared" si="19"/>
        <v>0</v>
      </c>
      <c r="Q52" s="48">
        <v>0</v>
      </c>
      <c r="R52" s="48">
        <v>0</v>
      </c>
      <c r="S52" s="48">
        <v>0</v>
      </c>
      <c r="T52" s="48">
        <f t="shared" si="21"/>
        <v>0</v>
      </c>
      <c r="U52" s="48">
        <f t="shared" si="22"/>
        <v>0</v>
      </c>
    </row>
    <row r="53" spans="1:21" ht="18.75" hidden="1" x14ac:dyDescent="0.25">
      <c r="A53" s="39"/>
      <c r="B53" s="199"/>
      <c r="C53" s="199"/>
      <c r="D53" s="199"/>
      <c r="E53" s="270" t="s">
        <v>21</v>
      </c>
      <c r="F53" s="199"/>
      <c r="G53" s="42"/>
      <c r="H53" s="43" t="s">
        <v>14</v>
      </c>
      <c r="I53" s="44"/>
      <c r="J53" s="44"/>
      <c r="K53" s="45"/>
      <c r="L53" s="519">
        <f ca="1">IFERROR(__xludf.DUMMYFUNCTION("IMPORTRANGE(""https://docs.google.com/spreadsheets/d/1-uDff_7J0KD5mKrp0Vvzr7lt3OU09vwQwhkpOPPYv2Y/edit?usp=sharing"",""งบพรบ!S82"")"),0)</f>
        <v>0</v>
      </c>
      <c r="M53" s="46">
        <f ca="1">IFERROR(__xludf.DUMMYFUNCTION("IMPORTRANGE(""https://docs.google.com/spreadsheets/d/1-uDff_7J0KD5mKrp0Vvzr7lt3OU09vwQwhkpOPPYv2Y/edit?usp=sharing"",""งบพรบ!W82"")"),0)</f>
        <v>0</v>
      </c>
      <c r="N53" s="46">
        <f ca="1">IFERROR(__xludf.DUMMYFUNCTION("IMPORTRANGE(""https://docs.google.com/spreadsheets/d/1-uDff_7J0KD5mKrp0Vvzr7lt3OU09vwQwhkpOPPYv2Y/edit?usp=sharing"",""งบพรบ!Z82"")"),0)</f>
        <v>0</v>
      </c>
      <c r="O53" s="46">
        <f t="shared" ca="1" si="18"/>
        <v>0</v>
      </c>
      <c r="P53" s="46">
        <f t="shared" ca="1" si="19"/>
        <v>0</v>
      </c>
      <c r="Q53" s="46">
        <v>0</v>
      </c>
      <c r="R53" s="46">
        <v>0</v>
      </c>
      <c r="S53" s="46">
        <v>0</v>
      </c>
      <c r="T53" s="46">
        <f t="shared" si="21"/>
        <v>0</v>
      </c>
      <c r="U53" s="46">
        <f t="shared" si="22"/>
        <v>0</v>
      </c>
    </row>
    <row r="54" spans="1:21" ht="18.75" x14ac:dyDescent="0.25">
      <c r="A54" s="39"/>
      <c r="B54" s="199"/>
      <c r="C54" s="199"/>
      <c r="D54" s="41" t="s">
        <v>24</v>
      </c>
      <c r="E54" s="199"/>
      <c r="F54" s="199"/>
      <c r="G54" s="42"/>
      <c r="H54" s="43" t="s">
        <v>14</v>
      </c>
      <c r="I54" s="44"/>
      <c r="J54" s="44"/>
      <c r="K54" s="45"/>
      <c r="L54" s="522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39"/>
      <c r="B55" s="199"/>
      <c r="C55" s="199"/>
      <c r="D55" s="199"/>
      <c r="E55" s="157" t="s">
        <v>20</v>
      </c>
      <c r="F55" s="199"/>
      <c r="G55" s="42"/>
      <c r="H55" s="520" t="s">
        <v>14</v>
      </c>
      <c r="I55" s="44"/>
      <c r="J55" s="44"/>
      <c r="K55" s="45"/>
      <c r="L55" s="522"/>
      <c r="M55" s="45"/>
      <c r="N55" s="45"/>
      <c r="O55" s="45"/>
      <c r="P55" s="45"/>
      <c r="Q55" s="45"/>
      <c r="R55" s="45"/>
      <c r="S55" s="45"/>
      <c r="T55" s="45"/>
      <c r="U55" s="45"/>
    </row>
    <row r="56" spans="1:21" ht="18.75" hidden="1" x14ac:dyDescent="0.25">
      <c r="A56" s="50"/>
      <c r="B56" s="2"/>
      <c r="C56" s="2"/>
      <c r="D56" s="2"/>
      <c r="E56" s="202" t="s">
        <v>21</v>
      </c>
      <c r="F56" s="2"/>
      <c r="G56" s="52"/>
      <c r="H56" s="53" t="s">
        <v>14</v>
      </c>
      <c r="I56" s="54"/>
      <c r="J56" s="54"/>
      <c r="K56" s="5"/>
      <c r="L56" s="523"/>
      <c r="M56" s="5"/>
      <c r="N56" s="5"/>
      <c r="O56" s="5"/>
      <c r="P56" s="5"/>
      <c r="Q56" s="5"/>
      <c r="R56" s="5"/>
      <c r="S56" s="5"/>
      <c r="T56" s="5"/>
      <c r="U56" s="5"/>
    </row>
    <row r="57" spans="1:21" ht="19.5" x14ac:dyDescent="0.3">
      <c r="A57" s="498" t="s">
        <v>28</v>
      </c>
      <c r="B57" s="478"/>
      <c r="C57" s="478"/>
      <c r="D57" s="478"/>
      <c r="E57" s="478"/>
      <c r="F57" s="478"/>
      <c r="G57" s="479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9" t="s">
        <v>29</v>
      </c>
      <c r="C58" s="490"/>
      <c r="D58" s="490"/>
      <c r="E58" s="490"/>
      <c r="F58" s="490"/>
      <c r="G58" s="491"/>
      <c r="H58" s="88"/>
      <c r="I58" s="89"/>
      <c r="J58" s="89"/>
      <c r="K58" s="90"/>
      <c r="L58" s="533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4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5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6">
        <f t="shared" ref="L60:N60" ca="1" si="29">L61+L62</f>
        <v>413200</v>
      </c>
      <c r="M60" s="105">
        <f t="shared" ca="1" si="29"/>
        <v>413200</v>
      </c>
      <c r="N60" s="105">
        <f t="shared" ca="1" si="29"/>
        <v>348552.06</v>
      </c>
      <c r="O60" s="105">
        <f t="shared" ref="O60:O68" ca="1" si="30">IF(L60&gt;0,N60*100/L60,0)</f>
        <v>84.354322362052272</v>
      </c>
      <c r="P60" s="105">
        <f t="shared" ref="P60:P68" ca="1" si="31">IF(M60&gt;0,N60*100/M60,0)</f>
        <v>84.354322362052272</v>
      </c>
      <c r="Q60" s="105">
        <f t="shared" ref="Q60:S60" si="32">Q61+Q62</f>
        <v>0</v>
      </c>
      <c r="R60" s="105">
        <f t="shared" si="32"/>
        <v>0</v>
      </c>
      <c r="S60" s="105">
        <f t="shared" si="32"/>
        <v>0</v>
      </c>
      <c r="T60" s="105">
        <f t="shared" ref="T60:T68" si="33">IF(Q60&gt;0,S60*100/Q60,0)</f>
        <v>0</v>
      </c>
      <c r="U60" s="105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7" t="s">
        <v>20</v>
      </c>
      <c r="F61" s="98"/>
      <c r="G61" s="101"/>
      <c r="H61" s="538" t="s">
        <v>14</v>
      </c>
      <c r="I61" s="103"/>
      <c r="J61" s="103"/>
      <c r="K61" s="104"/>
      <c r="L61" s="539">
        <f t="shared" ref="L61:N62" si="35">L64+L67</f>
        <v>0</v>
      </c>
      <c r="M61" s="109">
        <f t="shared" si="35"/>
        <v>0</v>
      </c>
      <c r="N61" s="109">
        <f t="shared" si="35"/>
        <v>0</v>
      </c>
      <c r="O61" s="109">
        <f t="shared" si="30"/>
        <v>0</v>
      </c>
      <c r="P61" s="109">
        <f t="shared" si="31"/>
        <v>0</v>
      </c>
      <c r="Q61" s="109">
        <f t="shared" ref="Q61:S62" si="36">Q64+Q67</f>
        <v>0</v>
      </c>
      <c r="R61" s="109">
        <f t="shared" si="36"/>
        <v>0</v>
      </c>
      <c r="S61" s="109">
        <f t="shared" si="36"/>
        <v>0</v>
      </c>
      <c r="T61" s="109">
        <f t="shared" si="33"/>
        <v>0</v>
      </c>
      <c r="U61" s="109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40">
        <f t="shared" ca="1" si="35"/>
        <v>413200</v>
      </c>
      <c r="M62" s="108">
        <f t="shared" ca="1" si="35"/>
        <v>413200</v>
      </c>
      <c r="N62" s="108">
        <f t="shared" ca="1" si="35"/>
        <v>348552.06</v>
      </c>
      <c r="O62" s="108">
        <f t="shared" ca="1" si="30"/>
        <v>84.354322362052272</v>
      </c>
      <c r="P62" s="108">
        <f t="shared" ca="1" si="31"/>
        <v>84.354322362052272</v>
      </c>
      <c r="Q62" s="108">
        <f t="shared" si="36"/>
        <v>0</v>
      </c>
      <c r="R62" s="108">
        <f t="shared" si="36"/>
        <v>0</v>
      </c>
      <c r="S62" s="108">
        <f t="shared" si="36"/>
        <v>0</v>
      </c>
      <c r="T62" s="108">
        <f t="shared" si="33"/>
        <v>0</v>
      </c>
      <c r="U62" s="108">
        <f t="shared" si="34"/>
        <v>0</v>
      </c>
    </row>
    <row r="63" spans="1:21" ht="18.75" x14ac:dyDescent="0.25">
      <c r="A63" s="39"/>
      <c r="B63" s="199"/>
      <c r="C63" s="199"/>
      <c r="D63" s="41" t="s">
        <v>22</v>
      </c>
      <c r="E63" s="199"/>
      <c r="F63" s="199"/>
      <c r="G63" s="42"/>
      <c r="H63" s="43" t="s">
        <v>14</v>
      </c>
      <c r="I63" s="44"/>
      <c r="J63" s="44"/>
      <c r="K63" s="45"/>
      <c r="L63" s="519">
        <f t="shared" ref="L63:N63" ca="1" si="37">L64+L65</f>
        <v>413200</v>
      </c>
      <c r="M63" s="46">
        <f t="shared" ca="1" si="37"/>
        <v>413200</v>
      </c>
      <c r="N63" s="46">
        <f t="shared" ca="1" si="37"/>
        <v>348552.06</v>
      </c>
      <c r="O63" s="46">
        <f t="shared" ca="1" si="30"/>
        <v>84.354322362052272</v>
      </c>
      <c r="P63" s="46">
        <f t="shared" ca="1" si="31"/>
        <v>84.354322362052272</v>
      </c>
      <c r="Q63" s="46">
        <f t="shared" ref="Q63:S63" si="38">Q64+Q65</f>
        <v>0</v>
      </c>
      <c r="R63" s="46">
        <f t="shared" si="38"/>
        <v>0</v>
      </c>
      <c r="S63" s="46">
        <f t="shared" si="38"/>
        <v>0</v>
      </c>
      <c r="T63" s="46">
        <f t="shared" si="33"/>
        <v>0</v>
      </c>
      <c r="U63" s="46">
        <f t="shared" si="34"/>
        <v>0</v>
      </c>
    </row>
    <row r="64" spans="1:21" ht="18.75" hidden="1" x14ac:dyDescent="0.25">
      <c r="A64" s="39"/>
      <c r="B64" s="199"/>
      <c r="C64" s="199"/>
      <c r="D64" s="199"/>
      <c r="E64" s="157" t="s">
        <v>20</v>
      </c>
      <c r="F64" s="199"/>
      <c r="G64" s="42"/>
      <c r="H64" s="520" t="s">
        <v>14</v>
      </c>
      <c r="I64" s="44"/>
      <c r="J64" s="44"/>
      <c r="K64" s="45"/>
      <c r="L64" s="521">
        <v>0</v>
      </c>
      <c r="M64" s="48">
        <v>0</v>
      </c>
      <c r="N64" s="48">
        <v>0</v>
      </c>
      <c r="O64" s="48">
        <f t="shared" si="30"/>
        <v>0</v>
      </c>
      <c r="P64" s="48">
        <f t="shared" si="31"/>
        <v>0</v>
      </c>
      <c r="Q64" s="48">
        <v>0</v>
      </c>
      <c r="R64" s="48">
        <v>0</v>
      </c>
      <c r="S64" s="48">
        <v>0</v>
      </c>
      <c r="T64" s="48">
        <f t="shared" si="33"/>
        <v>0</v>
      </c>
      <c r="U64" s="48">
        <f t="shared" si="34"/>
        <v>0</v>
      </c>
    </row>
    <row r="65" spans="1:21" ht="18.75" hidden="1" x14ac:dyDescent="0.25">
      <c r="A65" s="39"/>
      <c r="B65" s="199"/>
      <c r="C65" s="199"/>
      <c r="D65" s="199"/>
      <c r="E65" s="270" t="s">
        <v>21</v>
      </c>
      <c r="F65" s="199"/>
      <c r="G65" s="42"/>
      <c r="H65" s="43" t="s">
        <v>14</v>
      </c>
      <c r="I65" s="44"/>
      <c r="J65" s="44"/>
      <c r="K65" s="45"/>
      <c r="L65" s="519">
        <f ca="1">IFERROR(__xludf.DUMMYFUNCTION("IMPORTRANGE(""https://docs.google.com/spreadsheets/d/1-uDff_7J0KD5mKrp0Vvzr7lt3OU09vwQwhkpOPPYv2Y/edit?usp=sharing"",""งบพรบ!AC82"")"),413200)</f>
        <v>413200</v>
      </c>
      <c r="M65" s="46">
        <f ca="1">IFERROR(__xludf.DUMMYFUNCTION("IMPORTRANGE(""https://docs.google.com/spreadsheets/d/1-uDff_7J0KD5mKrp0Vvzr7lt3OU09vwQwhkpOPPYv2Y/edit?usp=sharing"",""งบพรบ!AH82"")"),413200)</f>
        <v>413200</v>
      </c>
      <c r="N65" s="46">
        <f ca="1">IFERROR(__xludf.DUMMYFUNCTION("IMPORTRANGE(""https://docs.google.com/spreadsheets/d/1-uDff_7J0KD5mKrp0Vvzr7lt3OU09vwQwhkpOPPYv2Y/edit?usp=sharing"",""งบพรบ!AJ82"")"),348552.06)</f>
        <v>348552.06</v>
      </c>
      <c r="O65" s="46">
        <f t="shared" ca="1" si="30"/>
        <v>84.354322362052272</v>
      </c>
      <c r="P65" s="46">
        <f t="shared" ca="1" si="31"/>
        <v>84.354322362052272</v>
      </c>
      <c r="Q65" s="46">
        <v>0</v>
      </c>
      <c r="R65" s="46">
        <v>0</v>
      </c>
      <c r="S65" s="46">
        <v>0</v>
      </c>
      <c r="T65" s="46">
        <f t="shared" si="33"/>
        <v>0</v>
      </c>
      <c r="U65" s="46">
        <f t="shared" si="34"/>
        <v>0</v>
      </c>
    </row>
    <row r="66" spans="1:21" ht="18.75" x14ac:dyDescent="0.25">
      <c r="A66" s="39"/>
      <c r="B66" s="199"/>
      <c r="C66" s="199"/>
      <c r="D66" s="41" t="s">
        <v>23</v>
      </c>
      <c r="E66" s="199"/>
      <c r="F66" s="199"/>
      <c r="G66" s="42"/>
      <c r="H66" s="43" t="s">
        <v>14</v>
      </c>
      <c r="I66" s="44"/>
      <c r="J66" s="44"/>
      <c r="K66" s="45"/>
      <c r="L66" s="519">
        <f t="shared" ref="L66:N66" ca="1" si="39">L67+L68</f>
        <v>0</v>
      </c>
      <c r="M66" s="46">
        <f t="shared" ca="1" si="39"/>
        <v>0</v>
      </c>
      <c r="N66" s="46">
        <f t="shared" ca="1" si="39"/>
        <v>0</v>
      </c>
      <c r="O66" s="46">
        <f t="shared" ca="1" si="30"/>
        <v>0</v>
      </c>
      <c r="P66" s="46">
        <f t="shared" ca="1" si="31"/>
        <v>0</v>
      </c>
      <c r="Q66" s="46">
        <f t="shared" ref="Q66:S66" si="40">Q67+Q68</f>
        <v>0</v>
      </c>
      <c r="R66" s="46">
        <f t="shared" si="40"/>
        <v>0</v>
      </c>
      <c r="S66" s="46">
        <f t="shared" si="40"/>
        <v>0</v>
      </c>
      <c r="T66" s="46">
        <f t="shared" si="33"/>
        <v>0</v>
      </c>
      <c r="U66" s="46">
        <f t="shared" si="34"/>
        <v>0</v>
      </c>
    </row>
    <row r="67" spans="1:21" ht="18.75" hidden="1" x14ac:dyDescent="0.25">
      <c r="A67" s="39"/>
      <c r="B67" s="199"/>
      <c r="C67" s="199"/>
      <c r="D67" s="199"/>
      <c r="E67" s="157" t="s">
        <v>20</v>
      </c>
      <c r="F67" s="199"/>
      <c r="G67" s="42"/>
      <c r="H67" s="520" t="s">
        <v>14</v>
      </c>
      <c r="I67" s="44"/>
      <c r="J67" s="44"/>
      <c r="K67" s="45"/>
      <c r="L67" s="521">
        <v>0</v>
      </c>
      <c r="M67" s="48">
        <v>0</v>
      </c>
      <c r="N67" s="48">
        <v>0</v>
      </c>
      <c r="O67" s="48">
        <f t="shared" si="30"/>
        <v>0</v>
      </c>
      <c r="P67" s="48">
        <f t="shared" si="31"/>
        <v>0</v>
      </c>
      <c r="Q67" s="48">
        <v>0</v>
      </c>
      <c r="R67" s="48">
        <v>0</v>
      </c>
      <c r="S67" s="48">
        <v>0</v>
      </c>
      <c r="T67" s="48">
        <f t="shared" si="33"/>
        <v>0</v>
      </c>
      <c r="U67" s="48">
        <f t="shared" si="34"/>
        <v>0</v>
      </c>
    </row>
    <row r="68" spans="1:21" ht="18.75" hidden="1" x14ac:dyDescent="0.25">
      <c r="A68" s="50"/>
      <c r="B68" s="2"/>
      <c r="C68" s="2"/>
      <c r="D68" s="2"/>
      <c r="E68" s="202" t="s">
        <v>21</v>
      </c>
      <c r="F68" s="2"/>
      <c r="G68" s="52"/>
      <c r="H68" s="53" t="s">
        <v>14</v>
      </c>
      <c r="I68" s="54"/>
      <c r="J68" s="54"/>
      <c r="K68" s="5"/>
      <c r="L68" s="541">
        <f ca="1">IFERROR(__xludf.DUMMYFUNCTION("IMPORTRANGE(""https://docs.google.com/spreadsheets/d/1-uDff_7J0KD5mKrp0Vvzr7lt3OU09vwQwhkpOPPYv2Y/edit?usp=sharing"",""งบพรบ!AF82"")"),0)</f>
        <v>0</v>
      </c>
      <c r="M68" s="110">
        <f ca="1">IFERROR(__xludf.DUMMYFUNCTION("IMPORTRANGE(""https://docs.google.com/spreadsheets/d/1-uDff_7J0KD5mKrp0Vvzr7lt3OU09vwQwhkpOPPYv2Y/edit?usp=sharing"",""งบพรบ!AI82"")"),0)</f>
        <v>0</v>
      </c>
      <c r="N68" s="110">
        <f ca="1">IFERROR(__xludf.DUMMYFUNCTION("IMPORTRANGE(""https://docs.google.com/spreadsheets/d/1-uDff_7J0KD5mKrp0Vvzr7lt3OU09vwQwhkpOPPYv2Y/edit?usp=sharing"",""งบพรบ!AK82"")"),0)</f>
        <v>0</v>
      </c>
      <c r="O68" s="110">
        <f t="shared" ca="1" si="30"/>
        <v>0</v>
      </c>
      <c r="P68" s="110">
        <f t="shared" ca="1" si="31"/>
        <v>0</v>
      </c>
      <c r="Q68" s="110">
        <v>0</v>
      </c>
      <c r="R68" s="110">
        <v>0</v>
      </c>
      <c r="S68" s="110">
        <v>0</v>
      </c>
      <c r="T68" s="110">
        <f t="shared" si="33"/>
        <v>0</v>
      </c>
      <c r="U68" s="110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7"/>
      <c r="D71" s="125"/>
      <c r="E71" s="27"/>
      <c r="F71" s="27"/>
      <c r="G71" s="30"/>
      <c r="H71" s="197" t="s">
        <v>34</v>
      </c>
      <c r="I71" s="127">
        <f t="shared" ref="I71:J72" ca="1" si="41">I83</f>
        <v>1</v>
      </c>
      <c r="J71" s="127">
        <f t="shared" si="41"/>
        <v>0</v>
      </c>
      <c r="K71" s="34">
        <f t="shared" ref="K71:K72" ca="1" si="42">IF(I71&gt;0,J71*100/I71,0)</f>
        <v>0</v>
      </c>
      <c r="L71" s="54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3"/>
      <c r="B72" s="27"/>
      <c r="C72" s="27"/>
      <c r="D72" s="125"/>
      <c r="E72" s="27"/>
      <c r="F72" s="27"/>
      <c r="G72" s="30"/>
      <c r="H72" s="197" t="s">
        <v>35</v>
      </c>
      <c r="I72" s="127">
        <f t="shared" ca="1" si="41"/>
        <v>30</v>
      </c>
      <c r="J72" s="127">
        <f t="shared" si="41"/>
        <v>0</v>
      </c>
      <c r="K72" s="34">
        <f t="shared" ca="1" si="42"/>
        <v>0</v>
      </c>
      <c r="L72" s="543"/>
      <c r="M72" s="33"/>
      <c r="N72" s="33"/>
      <c r="O72" s="33"/>
      <c r="P72" s="33"/>
      <c r="Q72" s="33"/>
      <c r="R72" s="33"/>
      <c r="S72" s="33"/>
      <c r="T72" s="33"/>
      <c r="U72" s="33"/>
    </row>
    <row r="73" spans="1:21" ht="19.5" x14ac:dyDescent="0.3">
      <c r="A73" s="128"/>
      <c r="B73" s="199"/>
      <c r="C73" s="198" t="s">
        <v>18</v>
      </c>
      <c r="D73" s="544" t="s">
        <v>19</v>
      </c>
      <c r="E73" s="199"/>
      <c r="F73" s="199"/>
      <c r="G73" s="42"/>
      <c r="H73" s="131" t="s">
        <v>14</v>
      </c>
      <c r="I73" s="44"/>
      <c r="J73" s="44"/>
      <c r="K73" s="45"/>
      <c r="L73" s="545">
        <f t="shared" ref="L73:N73" ca="1" si="43">L74+L75</f>
        <v>451900</v>
      </c>
      <c r="M73" s="132">
        <f t="shared" ca="1" si="43"/>
        <v>451900</v>
      </c>
      <c r="N73" s="132">
        <f t="shared" ca="1" si="43"/>
        <v>296057.39</v>
      </c>
      <c r="O73" s="132">
        <f t="shared" ref="O73:O81" ca="1" si="44">IF(L73&gt;0,N73*100/L73,0)</f>
        <v>65.513916795751271</v>
      </c>
      <c r="P73" s="132">
        <f t="shared" ref="P73:P81" ca="1" si="45">IF(M73&gt;0,N73*100/M73,0)</f>
        <v>65.513916795751271</v>
      </c>
      <c r="Q73" s="132">
        <f t="shared" ref="Q73:S73" ca="1" si="46">Q74+Q75</f>
        <v>344592</v>
      </c>
      <c r="R73" s="132">
        <f t="shared" ca="1" si="46"/>
        <v>344592</v>
      </c>
      <c r="S73" s="132">
        <f t="shared" ca="1" si="46"/>
        <v>0</v>
      </c>
      <c r="T73" s="132">
        <f t="shared" ref="T73:T81" ca="1" si="47">IF(Q73&gt;0,S73*100/Q73,0)</f>
        <v>0</v>
      </c>
      <c r="U73" s="132">
        <f t="shared" ref="U73:U81" ca="1" si="48">IF(R73&gt;0,S73*100/R73,0)</f>
        <v>0</v>
      </c>
    </row>
    <row r="74" spans="1:21" ht="18.75" hidden="1" x14ac:dyDescent="0.25">
      <c r="A74" s="128"/>
      <c r="B74" s="199"/>
      <c r="C74" s="199"/>
      <c r="D74" s="199"/>
      <c r="E74" s="157" t="s">
        <v>20</v>
      </c>
      <c r="F74" s="199"/>
      <c r="G74" s="42"/>
      <c r="H74" s="158" t="s">
        <v>14</v>
      </c>
      <c r="I74" s="44"/>
      <c r="J74" s="44"/>
      <c r="K74" s="45"/>
      <c r="L74" s="521">
        <f t="shared" ref="L74:N75" si="49">L77+L80</f>
        <v>0</v>
      </c>
      <c r="M74" s="48">
        <f t="shared" si="49"/>
        <v>0</v>
      </c>
      <c r="N74" s="48">
        <f t="shared" si="49"/>
        <v>0</v>
      </c>
      <c r="O74" s="48">
        <f t="shared" si="44"/>
        <v>0</v>
      </c>
      <c r="P74" s="48">
        <f t="shared" si="45"/>
        <v>0</v>
      </c>
      <c r="Q74" s="48">
        <f t="shared" ref="Q74:S75" si="50">Q77+Q80</f>
        <v>0</v>
      </c>
      <c r="R74" s="48">
        <f t="shared" si="50"/>
        <v>0</v>
      </c>
      <c r="S74" s="48">
        <f t="shared" si="50"/>
        <v>0</v>
      </c>
      <c r="T74" s="48">
        <f t="shared" si="47"/>
        <v>0</v>
      </c>
      <c r="U74" s="48">
        <f t="shared" si="48"/>
        <v>0</v>
      </c>
    </row>
    <row r="75" spans="1:21" ht="18.75" hidden="1" x14ac:dyDescent="0.25">
      <c r="A75" s="128"/>
      <c r="B75" s="199"/>
      <c r="C75" s="199"/>
      <c r="D75" s="199"/>
      <c r="E75" s="270" t="s">
        <v>21</v>
      </c>
      <c r="F75" s="199"/>
      <c r="G75" s="42"/>
      <c r="H75" s="133" t="s">
        <v>14</v>
      </c>
      <c r="I75" s="44"/>
      <c r="J75" s="44"/>
      <c r="K75" s="45"/>
      <c r="L75" s="519">
        <f t="shared" ca="1" si="49"/>
        <v>451900</v>
      </c>
      <c r="M75" s="46">
        <f t="shared" ca="1" si="49"/>
        <v>451900</v>
      </c>
      <c r="N75" s="46">
        <f t="shared" ca="1" si="49"/>
        <v>296057.39</v>
      </c>
      <c r="O75" s="46">
        <f t="shared" ca="1" si="44"/>
        <v>65.513916795751271</v>
      </c>
      <c r="P75" s="46">
        <f t="shared" ca="1" si="45"/>
        <v>65.513916795751271</v>
      </c>
      <c r="Q75" s="46">
        <f t="shared" ca="1" si="50"/>
        <v>344592</v>
      </c>
      <c r="R75" s="46">
        <f t="shared" ca="1" si="50"/>
        <v>344592</v>
      </c>
      <c r="S75" s="46">
        <f t="shared" ca="1" si="50"/>
        <v>0</v>
      </c>
      <c r="T75" s="46">
        <f t="shared" ca="1" si="47"/>
        <v>0</v>
      </c>
      <c r="U75" s="46">
        <f t="shared" ca="1" si="48"/>
        <v>0</v>
      </c>
    </row>
    <row r="76" spans="1:21" ht="18.75" x14ac:dyDescent="0.25">
      <c r="A76" s="128"/>
      <c r="B76" s="199"/>
      <c r="C76" s="199"/>
      <c r="D76" s="41" t="s">
        <v>22</v>
      </c>
      <c r="E76" s="199"/>
      <c r="F76" s="199"/>
      <c r="G76" s="42"/>
      <c r="H76" s="134" t="s">
        <v>14</v>
      </c>
      <c r="I76" s="135"/>
      <c r="J76" s="135"/>
      <c r="K76" s="136"/>
      <c r="L76" s="519">
        <f t="shared" ref="L76:N76" ca="1" si="51">L77+L78</f>
        <v>451900</v>
      </c>
      <c r="M76" s="46">
        <f t="shared" ca="1" si="51"/>
        <v>451900</v>
      </c>
      <c r="N76" s="46">
        <f t="shared" ca="1" si="51"/>
        <v>296057.39</v>
      </c>
      <c r="O76" s="46">
        <f t="shared" ca="1" si="44"/>
        <v>65.513916795751271</v>
      </c>
      <c r="P76" s="46">
        <f t="shared" ca="1" si="45"/>
        <v>65.513916795751271</v>
      </c>
      <c r="Q76" s="46">
        <f t="shared" ref="Q76:S76" ca="1" si="52">Q77+Q78</f>
        <v>344592</v>
      </c>
      <c r="R76" s="46">
        <f t="shared" ca="1" si="52"/>
        <v>344592</v>
      </c>
      <c r="S76" s="46">
        <f t="shared" ca="1" si="52"/>
        <v>0</v>
      </c>
      <c r="T76" s="46">
        <f t="shared" ca="1" si="47"/>
        <v>0</v>
      </c>
      <c r="U76" s="46">
        <f t="shared" ca="1" si="48"/>
        <v>0</v>
      </c>
    </row>
    <row r="77" spans="1:21" ht="18.75" hidden="1" x14ac:dyDescent="0.25">
      <c r="A77" s="128"/>
      <c r="B77" s="199"/>
      <c r="C77" s="199"/>
      <c r="D77" s="199"/>
      <c r="E77" s="157" t="s">
        <v>36</v>
      </c>
      <c r="F77" s="199"/>
      <c r="G77" s="42"/>
      <c r="H77" s="160" t="s">
        <v>14</v>
      </c>
      <c r="I77" s="135"/>
      <c r="J77" s="135"/>
      <c r="K77" s="136"/>
      <c r="L77" s="521">
        <v>0</v>
      </c>
      <c r="M77" s="48">
        <v>0</v>
      </c>
      <c r="N77" s="48">
        <v>0</v>
      </c>
      <c r="O77" s="48">
        <f t="shared" si="44"/>
        <v>0</v>
      </c>
      <c r="P77" s="48">
        <f t="shared" si="45"/>
        <v>0</v>
      </c>
      <c r="Q77" s="48">
        <v>0</v>
      </c>
      <c r="R77" s="48">
        <v>0</v>
      </c>
      <c r="S77" s="48">
        <v>0</v>
      </c>
      <c r="T77" s="48">
        <f t="shared" si="47"/>
        <v>0</v>
      </c>
      <c r="U77" s="48">
        <f t="shared" si="48"/>
        <v>0</v>
      </c>
    </row>
    <row r="78" spans="1:21" ht="18.75" hidden="1" x14ac:dyDescent="0.25">
      <c r="A78" s="128"/>
      <c r="B78" s="199"/>
      <c r="C78" s="199"/>
      <c r="D78" s="199"/>
      <c r="E78" s="270" t="s">
        <v>37</v>
      </c>
      <c r="F78" s="199"/>
      <c r="G78" s="42"/>
      <c r="H78" s="134" t="s">
        <v>14</v>
      </c>
      <c r="I78" s="135"/>
      <c r="J78" s="135"/>
      <c r="K78" s="136"/>
      <c r="L78" s="519">
        <f ca="1">IFERROR(__xludf.DUMMYFUNCTION("IMPORTRANGE(""https://docs.google.com/spreadsheets/d/1-uDff_7J0KD5mKrp0Vvzr7lt3OU09vwQwhkpOPPYv2Y/edit?usp=sharing"",""งบพรบ!AM82"")"),451900)</f>
        <v>451900</v>
      </c>
      <c r="M78" s="46">
        <f ca="1">IFERROR(__xludf.DUMMYFUNCTION("IMPORTRANGE(""https://docs.google.com/spreadsheets/d/1-uDff_7J0KD5mKrp0Vvzr7lt3OU09vwQwhkpOPPYv2Y/edit?usp=sharing"",""งบพรบ!AR82"")"),451900)</f>
        <v>451900</v>
      </c>
      <c r="N78" s="46">
        <f ca="1">IFERROR(__xludf.DUMMYFUNCTION("IMPORTRANGE(""https://docs.google.com/spreadsheets/d/1-uDff_7J0KD5mKrp0Vvzr7lt3OU09vwQwhkpOPPYv2Y/edit?usp=sharing"",""งบพรบ!AT82"")"),296057.39)</f>
        <v>296057.39</v>
      </c>
      <c r="O78" s="46">
        <f t="shared" ca="1" si="44"/>
        <v>65.513916795751271</v>
      </c>
      <c r="P78" s="46">
        <f t="shared" ca="1" si="45"/>
        <v>65.513916795751271</v>
      </c>
      <c r="Q78" s="46">
        <f ca="1">IFERROR(__xludf.DUMMYFUNCTION("IMPORTRANGE(""https://docs.google.com/spreadsheets/d/1ItG2mGa2ceCfYo0BwxsXqNm01IGEUdYcSSLTEv9YCik/edit?usp=sharing"",""เบิกจ่ายกองทุน!AS82"")"),344592)</f>
        <v>344592</v>
      </c>
      <c r="R78" s="46">
        <f ca="1">IFERROR(__xludf.DUMMYFUNCTION("IMPORTRANGE(""https://docs.google.com/spreadsheets/d/1ItG2mGa2ceCfYo0BwxsXqNm01IGEUdYcSSLTEv9YCik/edit?usp=sharing"",""เบิกจ่ายกองทุน!AT82"")"),344592)</f>
        <v>344592</v>
      </c>
      <c r="S78" s="46">
        <f ca="1">IFERROR(__xludf.DUMMYFUNCTION("IMPORTRANGE(""https://docs.google.com/spreadsheets/d/1ItG2mGa2ceCfYo0BwxsXqNm01IGEUdYcSSLTEv9YCik/edit?usp=sharing"",""เบิกจ่ายกองทุน!AU82"")"),0)</f>
        <v>0</v>
      </c>
      <c r="T78" s="46">
        <f t="shared" ca="1" si="47"/>
        <v>0</v>
      </c>
      <c r="U78" s="46">
        <f t="shared" ca="1" si="48"/>
        <v>0</v>
      </c>
    </row>
    <row r="79" spans="1:21" ht="18.75" x14ac:dyDescent="0.25">
      <c r="A79" s="128"/>
      <c r="B79" s="199"/>
      <c r="C79" s="199"/>
      <c r="D79" s="41" t="s">
        <v>23</v>
      </c>
      <c r="E79" s="199"/>
      <c r="F79" s="199"/>
      <c r="G79" s="42"/>
      <c r="H79" s="137" t="s">
        <v>14</v>
      </c>
      <c r="I79" s="135"/>
      <c r="J79" s="135"/>
      <c r="K79" s="136"/>
      <c r="L79" s="519">
        <f t="shared" ref="L79:N79" ca="1" si="53">L80+L81</f>
        <v>0</v>
      </c>
      <c r="M79" s="46">
        <f t="shared" ca="1" si="53"/>
        <v>0</v>
      </c>
      <c r="N79" s="46">
        <f t="shared" ca="1" si="53"/>
        <v>0</v>
      </c>
      <c r="O79" s="46">
        <f t="shared" ca="1" si="44"/>
        <v>0</v>
      </c>
      <c r="P79" s="46">
        <f t="shared" ca="1" si="45"/>
        <v>0</v>
      </c>
      <c r="Q79" s="46">
        <f t="shared" ref="Q79:S79" si="54">Q80+Q81</f>
        <v>0</v>
      </c>
      <c r="R79" s="46">
        <f t="shared" si="54"/>
        <v>0</v>
      </c>
      <c r="S79" s="46">
        <f t="shared" si="54"/>
        <v>0</v>
      </c>
      <c r="T79" s="46">
        <f t="shared" si="47"/>
        <v>0</v>
      </c>
      <c r="U79" s="46">
        <f t="shared" si="48"/>
        <v>0</v>
      </c>
    </row>
    <row r="80" spans="1:21" ht="18.75" hidden="1" x14ac:dyDescent="0.25">
      <c r="A80" s="128"/>
      <c r="B80" s="199"/>
      <c r="C80" s="199"/>
      <c r="D80" s="199"/>
      <c r="E80" s="157" t="s">
        <v>20</v>
      </c>
      <c r="F80" s="199"/>
      <c r="G80" s="42"/>
      <c r="H80" s="160" t="s">
        <v>14</v>
      </c>
      <c r="I80" s="135"/>
      <c r="J80" s="135"/>
      <c r="K80" s="136"/>
      <c r="L80" s="521">
        <v>0</v>
      </c>
      <c r="M80" s="46">
        <v>0</v>
      </c>
      <c r="N80" s="46">
        <v>0</v>
      </c>
      <c r="O80" s="48">
        <f t="shared" si="44"/>
        <v>0</v>
      </c>
      <c r="P80" s="48">
        <f t="shared" si="45"/>
        <v>0</v>
      </c>
      <c r="Q80" s="48">
        <v>0</v>
      </c>
      <c r="R80" s="46">
        <v>0</v>
      </c>
      <c r="S80" s="46">
        <v>0</v>
      </c>
      <c r="T80" s="48">
        <f t="shared" si="47"/>
        <v>0</v>
      </c>
      <c r="U80" s="48">
        <f t="shared" si="48"/>
        <v>0</v>
      </c>
    </row>
    <row r="81" spans="1:21" ht="18.75" hidden="1" x14ac:dyDescent="0.25">
      <c r="A81" s="128"/>
      <c r="B81" s="199"/>
      <c r="C81" s="199"/>
      <c r="D81" s="199"/>
      <c r="E81" s="270" t="s">
        <v>21</v>
      </c>
      <c r="F81" s="199"/>
      <c r="G81" s="42"/>
      <c r="H81" s="137" t="s">
        <v>14</v>
      </c>
      <c r="I81" s="135"/>
      <c r="J81" s="135"/>
      <c r="K81" s="136"/>
      <c r="L81" s="519">
        <f ca="1">IFERROR(__xludf.DUMMYFUNCTION("IMPORTRANGE(""https://docs.google.com/spreadsheets/d/1-uDff_7J0KD5mKrp0Vvzr7lt3OU09vwQwhkpOPPYv2Y/edit?usp=sharing"",""งบพรบ!AP82"")"),0)</f>
        <v>0</v>
      </c>
      <c r="M81" s="46">
        <f ca="1">IFERROR(__xludf.DUMMYFUNCTION("IMPORTRANGE(""https://docs.google.com/spreadsheets/d/1-uDff_7J0KD5mKrp0Vvzr7lt3OU09vwQwhkpOPPYv2Y/edit?usp=sharing"",""งบพรบ!AS82"")"),0)</f>
        <v>0</v>
      </c>
      <c r="N81" s="46">
        <f ca="1">IFERROR(__xludf.DUMMYFUNCTION("IMPORTRANGE(""https://docs.google.com/spreadsheets/d/1-uDff_7J0KD5mKrp0Vvzr7lt3OU09vwQwhkpOPPYv2Y/edit?usp=sharing"",""งบพรบ!AU82"")"),0)</f>
        <v>0</v>
      </c>
      <c r="O81" s="46">
        <f t="shared" ca="1" si="44"/>
        <v>0</v>
      </c>
      <c r="P81" s="46">
        <f t="shared" ca="1" si="45"/>
        <v>0</v>
      </c>
      <c r="Q81" s="46">
        <v>0</v>
      </c>
      <c r="R81" s="46">
        <v>0</v>
      </c>
      <c r="S81" s="46">
        <v>0</v>
      </c>
      <c r="T81" s="46">
        <f t="shared" si="47"/>
        <v>0</v>
      </c>
      <c r="U81" s="46">
        <f t="shared" si="48"/>
        <v>0</v>
      </c>
    </row>
    <row r="82" spans="1:21" ht="19.5" x14ac:dyDescent="0.3">
      <c r="A82" s="138"/>
      <c r="B82" s="139"/>
      <c r="C82" s="198" t="s">
        <v>18</v>
      </c>
      <c r="D82" s="546" t="s">
        <v>38</v>
      </c>
      <c r="E82" s="141"/>
      <c r="F82" s="141"/>
      <c r="G82" s="142"/>
      <c r="H82" s="143"/>
      <c r="I82" s="135"/>
      <c r="J82" s="135"/>
      <c r="K82" s="136"/>
      <c r="L82" s="547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33" t="s">
        <v>39</v>
      </c>
      <c r="E83" s="169"/>
      <c r="F83" s="169"/>
      <c r="G83" s="143"/>
      <c r="H83" s="146" t="s">
        <v>34</v>
      </c>
      <c r="I83" s="147">
        <f t="shared" ref="I83:J84" ca="1" si="55">I85+I87+I89</f>
        <v>1</v>
      </c>
      <c r="J83" s="147">
        <f t="shared" si="55"/>
        <v>0</v>
      </c>
      <c r="K83" s="148">
        <f t="shared" ref="K83:K91" ca="1" si="56">IF(I83&gt;0,J83*100/I83,0)</f>
        <v>0</v>
      </c>
      <c r="L83" s="547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147">
        <f t="shared" ca="1" si="55"/>
        <v>30</v>
      </c>
      <c r="J84" s="147">
        <f t="shared" si="55"/>
        <v>0</v>
      </c>
      <c r="K84" s="148">
        <f t="shared" ca="1" si="56"/>
        <v>0</v>
      </c>
      <c r="L84" s="547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7" t="s">
        <v>40</v>
      </c>
      <c r="F85" s="169"/>
      <c r="G85" s="143"/>
      <c r="H85" s="247" t="s">
        <v>34</v>
      </c>
      <c r="I85" s="151">
        <f ca="1">IFERROR(__xludf.DUMMYFUNCTION("IMPORTRANGE(""https://docs.google.com/spreadsheets/d/1eHaY18a8A9IcSdp1K8H6x8fbOy06t2VsZHhMHf-1x7Y/edit?usp=sharing"",""แผน!H82"")"),0)</f>
        <v>0</v>
      </c>
      <c r="J85" s="168">
        <v>0</v>
      </c>
      <c r="K85" s="153">
        <f t="shared" ca="1" si="56"/>
        <v>0</v>
      </c>
      <c r="L85" s="547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47" t="s">
        <v>35</v>
      </c>
      <c r="I86" s="151">
        <f ca="1">IFERROR(__xludf.DUMMYFUNCTION("IMPORTRANGE(""https://docs.google.com/spreadsheets/d/1eHaY18a8A9IcSdp1K8H6x8fbOy06t2VsZHhMHf-1x7Y/edit?usp=sharing"",""แผน!I82"")"),0)</f>
        <v>0</v>
      </c>
      <c r="J86" s="168">
        <v>0</v>
      </c>
      <c r="K86" s="153">
        <f t="shared" ca="1" si="56"/>
        <v>0</v>
      </c>
      <c r="L86" s="547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7" t="s">
        <v>41</v>
      </c>
      <c r="F87" s="169"/>
      <c r="G87" s="143"/>
      <c r="H87" s="247" t="s">
        <v>34</v>
      </c>
      <c r="I87" s="151">
        <f ca="1">IFERROR(__xludf.DUMMYFUNCTION("IMPORTRANGE(""https://docs.google.com/spreadsheets/d/1eHaY18a8A9IcSdp1K8H6x8fbOy06t2VsZHhMHf-1x7Y/edit?usp=sharing"",""แผน!F82"")"),0)</f>
        <v>0</v>
      </c>
      <c r="J87" s="168">
        <v>0</v>
      </c>
      <c r="K87" s="153">
        <f t="shared" ca="1" si="56"/>
        <v>0</v>
      </c>
      <c r="L87" s="547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47" t="s">
        <v>35</v>
      </c>
      <c r="I88" s="151">
        <f ca="1">IFERROR(__xludf.DUMMYFUNCTION("IMPORTRANGE(""https://docs.google.com/spreadsheets/d/1eHaY18a8A9IcSdp1K8H6x8fbOy06t2VsZHhMHf-1x7Y/edit?usp=sharing"",""แผน!G82"")"),0)</f>
        <v>0</v>
      </c>
      <c r="J88" s="168">
        <v>0</v>
      </c>
      <c r="K88" s="153">
        <f t="shared" ca="1" si="56"/>
        <v>0</v>
      </c>
      <c r="L88" s="547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7" t="s">
        <v>42</v>
      </c>
      <c r="F89" s="169"/>
      <c r="G89" s="143"/>
      <c r="H89" s="247" t="s">
        <v>34</v>
      </c>
      <c r="I89" s="151">
        <f ca="1">IFERROR(__xludf.DUMMYFUNCTION("IMPORTRANGE(""https://docs.google.com/spreadsheets/d/1eHaY18a8A9IcSdp1K8H6x8fbOy06t2VsZHhMHf-1x7Y/edit?usp=sharing"",""แผน!D82"")"),1)</f>
        <v>1</v>
      </c>
      <c r="J89" s="168">
        <v>0</v>
      </c>
      <c r="K89" s="153">
        <f t="shared" ca="1" si="56"/>
        <v>0</v>
      </c>
      <c r="L89" s="547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47" t="s">
        <v>35</v>
      </c>
      <c r="I90" s="151">
        <f ca="1">IFERROR(__xludf.DUMMYFUNCTION("IMPORTRANGE(""https://docs.google.com/spreadsheets/d/1eHaY18a8A9IcSdp1K8H6x8fbOy06t2VsZHhMHf-1x7Y/edit?usp=sharing"",""แผน!E82"")"),30)</f>
        <v>30</v>
      </c>
      <c r="J90" s="168">
        <v>0</v>
      </c>
      <c r="K90" s="153">
        <f t="shared" ca="1" si="56"/>
        <v>0</v>
      </c>
      <c r="L90" s="547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33" t="s">
        <v>43</v>
      </c>
      <c r="E91" s="169"/>
      <c r="F91" s="169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IFERROR(__xludf.DUMMYFUNCTION("IMPORTRANGE(""https://docs.google.com/spreadsheets/d/1eHaY18a8A9IcSdp1K8H6x8fbOy06t2VsZHhMHf-1x7Y/edit?usp=sharing"",""แผน!J82"")"),1)</f>
        <v>1</v>
      </c>
      <c r="J91" s="168">
        <v>0</v>
      </c>
      <c r="K91" s="153">
        <f t="shared" ca="1" si="56"/>
        <v>0</v>
      </c>
      <c r="L91" s="547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7"/>
      <c r="D93" s="125"/>
      <c r="E93" s="27"/>
      <c r="F93" s="27"/>
      <c r="G93" s="30"/>
      <c r="H93" s="197" t="s">
        <v>46</v>
      </c>
      <c r="I93" s="127">
        <f t="shared" ref="I93:J94" ca="1" si="57">I109</f>
        <v>30</v>
      </c>
      <c r="J93" s="127">
        <f t="shared" si="57"/>
        <v>0</v>
      </c>
      <c r="K93" s="34">
        <f t="shared" ref="K93:K94" ca="1" si="58">IF(I93&gt;0,J93*100/I93,0)</f>
        <v>0</v>
      </c>
      <c r="L93" s="54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3"/>
      <c r="B94" s="27"/>
      <c r="C94" s="27"/>
      <c r="D94" s="125"/>
      <c r="E94" s="27"/>
      <c r="F94" s="27"/>
      <c r="G94" s="30"/>
      <c r="H94" s="197" t="s">
        <v>35</v>
      </c>
      <c r="I94" s="127">
        <f t="shared" ca="1" si="57"/>
        <v>10</v>
      </c>
      <c r="J94" s="127">
        <f t="shared" si="57"/>
        <v>0</v>
      </c>
      <c r="K94" s="34">
        <f t="shared" ca="1" si="58"/>
        <v>0</v>
      </c>
      <c r="L94" s="543"/>
      <c r="M94" s="33"/>
      <c r="N94" s="33"/>
      <c r="O94" s="33"/>
      <c r="P94" s="33"/>
      <c r="Q94" s="33"/>
      <c r="R94" s="33"/>
      <c r="S94" s="33"/>
      <c r="T94" s="33"/>
      <c r="U94" s="33"/>
    </row>
    <row r="95" spans="1:21" ht="19.5" x14ac:dyDescent="0.3">
      <c r="A95" s="128"/>
      <c r="B95" s="199"/>
      <c r="C95" s="198" t="s">
        <v>18</v>
      </c>
      <c r="D95" s="544" t="s">
        <v>19</v>
      </c>
      <c r="E95" s="199"/>
      <c r="F95" s="199"/>
      <c r="G95" s="42"/>
      <c r="H95" s="131" t="s">
        <v>14</v>
      </c>
      <c r="I95" s="44"/>
      <c r="J95" s="44"/>
      <c r="K95" s="45"/>
      <c r="L95" s="545">
        <f t="shared" ref="L95:N95" ca="1" si="59">L96+L97</f>
        <v>0</v>
      </c>
      <c r="M95" s="132">
        <f t="shared" ca="1" si="59"/>
        <v>0</v>
      </c>
      <c r="N95" s="132">
        <f t="shared" ca="1" si="59"/>
        <v>0</v>
      </c>
      <c r="O95" s="132">
        <f t="shared" ref="O95:O103" ca="1" si="60">IF(L95&gt;0,N95*100/L95,0)</f>
        <v>0</v>
      </c>
      <c r="P95" s="132">
        <f t="shared" ref="P95:P103" ca="1" si="61">IF(M95&gt;0,N95*100/M95,0)</f>
        <v>0</v>
      </c>
      <c r="Q95" s="132">
        <f t="shared" ref="Q95:S95" ca="1" si="62">Q96+Q97</f>
        <v>84420</v>
      </c>
      <c r="R95" s="132">
        <f t="shared" ca="1" si="62"/>
        <v>84420</v>
      </c>
      <c r="S95" s="132">
        <f t="shared" ca="1" si="62"/>
        <v>18730</v>
      </c>
      <c r="T95" s="132">
        <f t="shared" ref="T95:T103" ca="1" si="63">IF(Q95&gt;0,S95*100/Q95,0)</f>
        <v>22.186685619521441</v>
      </c>
      <c r="U95" s="132">
        <f t="shared" ref="U95:U103" ca="1" si="64">IF(R95&gt;0,S95*100/R95,0)</f>
        <v>22.186685619521441</v>
      </c>
    </row>
    <row r="96" spans="1:21" ht="18.75" hidden="1" x14ac:dyDescent="0.25">
      <c r="A96" s="128"/>
      <c r="B96" s="199"/>
      <c r="C96" s="199"/>
      <c r="D96" s="199"/>
      <c r="E96" s="157" t="s">
        <v>20</v>
      </c>
      <c r="F96" s="199"/>
      <c r="G96" s="42"/>
      <c r="H96" s="158" t="s">
        <v>14</v>
      </c>
      <c r="I96" s="44"/>
      <c r="J96" s="44"/>
      <c r="K96" s="45"/>
      <c r="L96" s="521">
        <f t="shared" ref="L96:N97" si="65">L99+L102</f>
        <v>0</v>
      </c>
      <c r="M96" s="48">
        <f t="shared" si="65"/>
        <v>0</v>
      </c>
      <c r="N96" s="48">
        <f t="shared" si="65"/>
        <v>0</v>
      </c>
      <c r="O96" s="48">
        <f t="shared" si="60"/>
        <v>0</v>
      </c>
      <c r="P96" s="48">
        <f t="shared" si="61"/>
        <v>0</v>
      </c>
      <c r="Q96" s="48">
        <f t="shared" ref="Q96:S97" si="66">Q99+Q102</f>
        <v>0</v>
      </c>
      <c r="R96" s="48">
        <f t="shared" si="66"/>
        <v>0</v>
      </c>
      <c r="S96" s="48">
        <f t="shared" si="66"/>
        <v>0</v>
      </c>
      <c r="T96" s="48">
        <f t="shared" si="63"/>
        <v>0</v>
      </c>
      <c r="U96" s="48">
        <f t="shared" si="64"/>
        <v>0</v>
      </c>
    </row>
    <row r="97" spans="1:21" ht="18.75" hidden="1" x14ac:dyDescent="0.25">
      <c r="A97" s="128"/>
      <c r="B97" s="199"/>
      <c r="C97" s="199"/>
      <c r="D97" s="199"/>
      <c r="E97" s="270" t="s">
        <v>21</v>
      </c>
      <c r="F97" s="199"/>
      <c r="G97" s="42"/>
      <c r="H97" s="133" t="s">
        <v>14</v>
      </c>
      <c r="I97" s="44"/>
      <c r="J97" s="44"/>
      <c r="K97" s="45"/>
      <c r="L97" s="519">
        <f t="shared" ca="1" si="65"/>
        <v>0</v>
      </c>
      <c r="M97" s="46">
        <f t="shared" ca="1" si="65"/>
        <v>0</v>
      </c>
      <c r="N97" s="46">
        <f t="shared" ca="1" si="65"/>
        <v>0</v>
      </c>
      <c r="O97" s="46">
        <f t="shared" ca="1" si="60"/>
        <v>0</v>
      </c>
      <c r="P97" s="46">
        <f t="shared" ca="1" si="61"/>
        <v>0</v>
      </c>
      <c r="Q97" s="46">
        <f t="shared" ca="1" si="66"/>
        <v>84420</v>
      </c>
      <c r="R97" s="46">
        <f t="shared" ca="1" si="66"/>
        <v>84420</v>
      </c>
      <c r="S97" s="46">
        <f t="shared" ca="1" si="66"/>
        <v>18730</v>
      </c>
      <c r="T97" s="46">
        <f t="shared" ca="1" si="63"/>
        <v>22.186685619521441</v>
      </c>
      <c r="U97" s="46">
        <f t="shared" ca="1" si="64"/>
        <v>22.186685619521441</v>
      </c>
    </row>
    <row r="98" spans="1:21" ht="18.75" x14ac:dyDescent="0.25">
      <c r="A98" s="128"/>
      <c r="B98" s="199"/>
      <c r="C98" s="199"/>
      <c r="D98" s="41" t="s">
        <v>22</v>
      </c>
      <c r="E98" s="199"/>
      <c r="F98" s="199"/>
      <c r="G98" s="42"/>
      <c r="H98" s="134" t="s">
        <v>14</v>
      </c>
      <c r="I98" s="135"/>
      <c r="J98" s="135"/>
      <c r="K98" s="136"/>
      <c r="L98" s="519">
        <f t="shared" ref="L98:N98" ca="1" si="67">L99+L100</f>
        <v>0</v>
      </c>
      <c r="M98" s="46">
        <f t="shared" ca="1" si="67"/>
        <v>0</v>
      </c>
      <c r="N98" s="46">
        <f t="shared" ca="1" si="67"/>
        <v>0</v>
      </c>
      <c r="O98" s="46">
        <f t="shared" ca="1" si="60"/>
        <v>0</v>
      </c>
      <c r="P98" s="46">
        <f t="shared" ca="1" si="61"/>
        <v>0</v>
      </c>
      <c r="Q98" s="46">
        <f t="shared" ref="Q98:S98" ca="1" si="68">Q99+Q100</f>
        <v>84420</v>
      </c>
      <c r="R98" s="46">
        <f t="shared" ca="1" si="68"/>
        <v>84420</v>
      </c>
      <c r="S98" s="46">
        <f t="shared" ca="1" si="68"/>
        <v>18730</v>
      </c>
      <c r="T98" s="46">
        <f t="shared" ca="1" si="63"/>
        <v>22.186685619521441</v>
      </c>
      <c r="U98" s="46">
        <f t="shared" ca="1" si="64"/>
        <v>22.186685619521441</v>
      </c>
    </row>
    <row r="99" spans="1:21" ht="18.75" hidden="1" x14ac:dyDescent="0.25">
      <c r="A99" s="128"/>
      <c r="B99" s="199"/>
      <c r="C99" s="199"/>
      <c r="D99" s="199"/>
      <c r="E99" s="157" t="s">
        <v>36</v>
      </c>
      <c r="F99" s="199"/>
      <c r="G99" s="42"/>
      <c r="H99" s="160" t="s">
        <v>14</v>
      </c>
      <c r="I99" s="135"/>
      <c r="J99" s="135"/>
      <c r="K99" s="136"/>
      <c r="L99" s="521">
        <v>0</v>
      </c>
      <c r="M99" s="48">
        <v>0</v>
      </c>
      <c r="N99" s="48">
        <v>0</v>
      </c>
      <c r="O99" s="48">
        <f t="shared" si="60"/>
        <v>0</v>
      </c>
      <c r="P99" s="48">
        <f t="shared" si="61"/>
        <v>0</v>
      </c>
      <c r="Q99" s="48">
        <v>0</v>
      </c>
      <c r="R99" s="48">
        <v>0</v>
      </c>
      <c r="S99" s="48">
        <v>0</v>
      </c>
      <c r="T99" s="48">
        <f t="shared" si="63"/>
        <v>0</v>
      </c>
      <c r="U99" s="48">
        <f t="shared" si="64"/>
        <v>0</v>
      </c>
    </row>
    <row r="100" spans="1:21" ht="18.75" hidden="1" x14ac:dyDescent="0.25">
      <c r="A100" s="128"/>
      <c r="B100" s="199"/>
      <c r="C100" s="199"/>
      <c r="D100" s="199"/>
      <c r="E100" s="270" t="s">
        <v>37</v>
      </c>
      <c r="F100" s="199"/>
      <c r="G100" s="42"/>
      <c r="H100" s="134" t="s">
        <v>14</v>
      </c>
      <c r="I100" s="135"/>
      <c r="J100" s="135"/>
      <c r="K100" s="136"/>
      <c r="L100" s="519">
        <f ca="1">IFERROR(__xludf.DUMMYFUNCTION("IMPORTRANGE(""https://docs.google.com/spreadsheets/d/1-uDff_7J0KD5mKrp0Vvzr7lt3OU09vwQwhkpOPPYv2Y/edit?usp=sharing"",""งบพรบ!AW82"")"),0)</f>
        <v>0</v>
      </c>
      <c r="M100" s="46">
        <f ca="1">IFERROR(__xludf.DUMMYFUNCTION("IMPORTRANGE(""https://docs.google.com/spreadsheets/d/1-uDff_7J0KD5mKrp0Vvzr7lt3OU09vwQwhkpOPPYv2Y/edit?usp=sharing"",""งบพรบ!BB82"")"),0)</f>
        <v>0</v>
      </c>
      <c r="N100" s="46">
        <f ca="1">IFERROR(__xludf.DUMMYFUNCTION("IMPORTRANGE(""https://docs.google.com/spreadsheets/d/1-uDff_7J0KD5mKrp0Vvzr7lt3OU09vwQwhkpOPPYv2Y/edit?usp=sharing"",""งบพรบ!BD82"")"),0)</f>
        <v>0</v>
      </c>
      <c r="O100" s="46">
        <f t="shared" ca="1" si="60"/>
        <v>0</v>
      </c>
      <c r="P100" s="46">
        <f t="shared" ca="1" si="61"/>
        <v>0</v>
      </c>
      <c r="Q100" s="46">
        <f ca="1">IFERROR(__xludf.DUMMYFUNCTION("IMPORTRANGE(""https://docs.google.com/spreadsheets/d/1ItG2mGa2ceCfYo0BwxsXqNm01IGEUdYcSSLTEv9YCik/edit?usp=sharing"",""เบิกจ่ายกองทุน!AD82"")"),84420)</f>
        <v>84420</v>
      </c>
      <c r="R100" s="46">
        <f ca="1">IFERROR(__xludf.DUMMYFUNCTION("IMPORTRANGE(""https://docs.google.com/spreadsheets/d/1ItG2mGa2ceCfYo0BwxsXqNm01IGEUdYcSSLTEv9YCik/edit?usp=sharing"",""เบิกจ่ายกองทุน!AE82"")"),84420)</f>
        <v>84420</v>
      </c>
      <c r="S100" s="46">
        <f ca="1">IFERROR(__xludf.DUMMYFUNCTION("IMPORTRANGE(""https://docs.google.com/spreadsheets/d/1ItG2mGa2ceCfYo0BwxsXqNm01IGEUdYcSSLTEv9YCik/edit?usp=sharing"",""เบิกจ่ายกองทุน!AF82"")"),18730)</f>
        <v>18730</v>
      </c>
      <c r="T100" s="46">
        <f t="shared" ca="1" si="63"/>
        <v>22.186685619521441</v>
      </c>
      <c r="U100" s="46">
        <f t="shared" ca="1" si="64"/>
        <v>22.186685619521441</v>
      </c>
    </row>
    <row r="101" spans="1:21" ht="18.75" x14ac:dyDescent="0.25">
      <c r="A101" s="128"/>
      <c r="B101" s="199"/>
      <c r="C101" s="199"/>
      <c r="D101" s="41" t="s">
        <v>23</v>
      </c>
      <c r="E101" s="199"/>
      <c r="F101" s="199"/>
      <c r="G101" s="42"/>
      <c r="H101" s="137" t="s">
        <v>14</v>
      </c>
      <c r="I101" s="135"/>
      <c r="J101" s="135"/>
      <c r="K101" s="136"/>
      <c r="L101" s="519">
        <f t="shared" ref="L101:N101" ca="1" si="69">L102+L103</f>
        <v>0</v>
      </c>
      <c r="M101" s="46">
        <f t="shared" ca="1" si="69"/>
        <v>0</v>
      </c>
      <c r="N101" s="46">
        <f t="shared" ca="1" si="69"/>
        <v>0</v>
      </c>
      <c r="O101" s="46">
        <f t="shared" ca="1" si="60"/>
        <v>0</v>
      </c>
      <c r="P101" s="46">
        <f t="shared" ca="1" si="61"/>
        <v>0</v>
      </c>
      <c r="Q101" s="46">
        <f t="shared" ref="Q101:S101" si="70">Q102+Q103</f>
        <v>0</v>
      </c>
      <c r="R101" s="46">
        <f t="shared" si="70"/>
        <v>0</v>
      </c>
      <c r="S101" s="46">
        <f t="shared" si="70"/>
        <v>0</v>
      </c>
      <c r="T101" s="46">
        <f t="shared" si="63"/>
        <v>0</v>
      </c>
      <c r="U101" s="46">
        <f t="shared" si="64"/>
        <v>0</v>
      </c>
    </row>
    <row r="102" spans="1:21" ht="18.75" hidden="1" x14ac:dyDescent="0.25">
      <c r="A102" s="128"/>
      <c r="B102" s="199"/>
      <c r="C102" s="199"/>
      <c r="D102" s="199"/>
      <c r="E102" s="157" t="s">
        <v>20</v>
      </c>
      <c r="F102" s="199"/>
      <c r="G102" s="42"/>
      <c r="H102" s="160" t="s">
        <v>14</v>
      </c>
      <c r="I102" s="135"/>
      <c r="J102" s="135"/>
      <c r="K102" s="136"/>
      <c r="L102" s="521">
        <v>0</v>
      </c>
      <c r="M102" s="48">
        <v>0</v>
      </c>
      <c r="N102" s="48">
        <v>0</v>
      </c>
      <c r="O102" s="48">
        <f t="shared" si="60"/>
        <v>0</v>
      </c>
      <c r="P102" s="48">
        <f t="shared" si="61"/>
        <v>0</v>
      </c>
      <c r="Q102" s="48">
        <v>0</v>
      </c>
      <c r="R102" s="48">
        <v>0</v>
      </c>
      <c r="S102" s="48">
        <v>0</v>
      </c>
      <c r="T102" s="48">
        <f t="shared" si="63"/>
        <v>0</v>
      </c>
      <c r="U102" s="48">
        <f t="shared" si="64"/>
        <v>0</v>
      </c>
    </row>
    <row r="103" spans="1:21" ht="18.75" hidden="1" x14ac:dyDescent="0.25">
      <c r="A103" s="128"/>
      <c r="B103" s="199"/>
      <c r="C103" s="199"/>
      <c r="D103" s="199"/>
      <c r="E103" s="270" t="s">
        <v>21</v>
      </c>
      <c r="F103" s="199"/>
      <c r="G103" s="42"/>
      <c r="H103" s="137" t="s">
        <v>14</v>
      </c>
      <c r="I103" s="135"/>
      <c r="J103" s="135"/>
      <c r="K103" s="136"/>
      <c r="L103" s="519">
        <f ca="1">IFERROR(__xludf.DUMMYFUNCTION("IMPORTRANGE(""https://docs.google.com/spreadsheets/d/1-uDff_7J0KD5mKrp0Vvzr7lt3OU09vwQwhkpOPPYv2Y/edit?usp=sharing"",""งบพรบ!AZ82"")"),0)</f>
        <v>0</v>
      </c>
      <c r="M103" s="46">
        <f ca="1">IFERROR(__xludf.DUMMYFUNCTION("IMPORTRANGE(""https://docs.google.com/spreadsheets/d/1-uDff_7J0KD5mKrp0Vvzr7lt3OU09vwQwhkpOPPYv2Y/edit?usp=sharing"",""งบพรบ!BC82"")"),0)</f>
        <v>0</v>
      </c>
      <c r="N103" s="46">
        <f ca="1">IFERROR(__xludf.DUMMYFUNCTION("IMPORTRANGE(""https://docs.google.com/spreadsheets/d/1-uDff_7J0KD5mKrp0Vvzr7lt3OU09vwQwhkpOPPYv2Y/edit?usp=sharing"",""งบพรบ!BE82"")"),0)</f>
        <v>0</v>
      </c>
      <c r="O103" s="46">
        <f t="shared" ca="1" si="60"/>
        <v>0</v>
      </c>
      <c r="P103" s="46">
        <f t="shared" ca="1" si="61"/>
        <v>0</v>
      </c>
      <c r="Q103" s="46">
        <v>0</v>
      </c>
      <c r="R103" s="46">
        <v>0</v>
      </c>
      <c r="S103" s="46">
        <v>0</v>
      </c>
      <c r="T103" s="46">
        <f t="shared" si="63"/>
        <v>0</v>
      </c>
      <c r="U103" s="46">
        <f t="shared" si="64"/>
        <v>0</v>
      </c>
    </row>
    <row r="104" spans="1:21" ht="19.5" x14ac:dyDescent="0.3">
      <c r="A104" s="138"/>
      <c r="B104" s="139"/>
      <c r="C104" s="198" t="s">
        <v>18</v>
      </c>
      <c r="D104" s="546" t="s">
        <v>38</v>
      </c>
      <c r="E104" s="141"/>
      <c r="F104" s="141"/>
      <c r="G104" s="142"/>
      <c r="H104" s="143"/>
      <c r="I104" s="135"/>
      <c r="J104" s="44"/>
      <c r="K104" s="45"/>
      <c r="L104" s="522"/>
      <c r="M104" s="45"/>
      <c r="N104" s="45"/>
      <c r="O104" s="136"/>
      <c r="P104" s="136"/>
      <c r="Q104" s="45"/>
      <c r="R104" s="45"/>
      <c r="S104" s="45"/>
      <c r="T104" s="136"/>
      <c r="U104" s="136"/>
    </row>
    <row r="105" spans="1:21" ht="12.75" hidden="1" x14ac:dyDescent="0.2">
      <c r="A105" s="163"/>
      <c r="B105" s="164"/>
      <c r="C105" s="164"/>
      <c r="D105" s="18"/>
      <c r="E105" s="18"/>
      <c r="F105" s="18"/>
      <c r="G105" s="19"/>
      <c r="H105" s="19"/>
      <c r="I105" s="20"/>
      <c r="J105" s="20"/>
      <c r="K105" s="21"/>
      <c r="L105" s="51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3"/>
      <c r="B106" s="164"/>
      <c r="C106" s="164"/>
      <c r="D106" s="18"/>
      <c r="E106" s="18"/>
      <c r="F106" s="18"/>
      <c r="G106" s="19"/>
      <c r="H106" s="19"/>
      <c r="I106" s="20"/>
      <c r="J106" s="20"/>
      <c r="K106" s="21"/>
      <c r="L106" s="51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2.75" hidden="1" x14ac:dyDescent="0.2">
      <c r="A107" s="163"/>
      <c r="B107" s="164"/>
      <c r="C107" s="164"/>
      <c r="D107" s="164"/>
      <c r="E107" s="18"/>
      <c r="F107" s="18"/>
      <c r="G107" s="19"/>
      <c r="H107" s="19"/>
      <c r="I107" s="20"/>
      <c r="J107" s="20"/>
      <c r="K107" s="21"/>
      <c r="L107" s="512"/>
      <c r="M107" s="21"/>
      <c r="N107" s="21"/>
      <c r="O107" s="21"/>
      <c r="P107" s="21"/>
      <c r="Q107" s="21"/>
      <c r="R107" s="21"/>
      <c r="S107" s="21"/>
      <c r="T107" s="21"/>
      <c r="U107" s="21"/>
    </row>
    <row r="108" spans="1:21" ht="19.5" hidden="1" x14ac:dyDescent="0.3">
      <c r="A108" s="138"/>
      <c r="B108" s="139"/>
      <c r="C108" s="139"/>
      <c r="D108" s="301" t="s">
        <v>47</v>
      </c>
      <c r="E108" s="166"/>
      <c r="F108" s="169"/>
      <c r="G108" s="143"/>
      <c r="H108" s="42"/>
      <c r="I108" s="44"/>
      <c r="J108" s="44"/>
      <c r="K108" s="45"/>
      <c r="L108" s="522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67" t="s">
        <v>48</v>
      </c>
      <c r="E109" s="169"/>
      <c r="F109" s="169"/>
      <c r="G109" s="143"/>
      <c r="H109" s="43" t="s">
        <v>46</v>
      </c>
      <c r="I109" s="152">
        <f ca="1">IFERROR(__xludf.DUMMYFUNCTION("IMPORTRANGE(""https://docs.google.com/spreadsheets/d/1eHaY18a8A9IcSdp1K8H6x8fbOy06t2VsZHhMHf-1x7Y/edit?usp=sharing"",""แผน!N82"")"),30)</f>
        <v>30</v>
      </c>
      <c r="J109" s="168">
        <v>0</v>
      </c>
      <c r="K109" s="46">
        <f t="shared" ref="K109:K110" ca="1" si="71">IF(I109&gt;0,J109*100/I109,0)</f>
        <v>0</v>
      </c>
      <c r="L109" s="522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8.75" x14ac:dyDescent="0.25">
      <c r="A110" s="138"/>
      <c r="B110" s="139"/>
      <c r="C110" s="139"/>
      <c r="D110" s="167" t="s">
        <v>49</v>
      </c>
      <c r="E110" s="169"/>
      <c r="F110" s="169"/>
      <c r="G110" s="143"/>
      <c r="H110" s="43" t="s">
        <v>35</v>
      </c>
      <c r="I110" s="152">
        <f ca="1">IFERROR(__xludf.DUMMYFUNCTION("IMPORTRANGE(""https://docs.google.com/spreadsheets/d/1eHaY18a8A9IcSdp1K8H6x8fbOy06t2VsZHhMHf-1x7Y/edit?usp=sharing"",""แผน!O82"")"),10)</f>
        <v>10</v>
      </c>
      <c r="J110" s="168">
        <v>0</v>
      </c>
      <c r="K110" s="46">
        <f t="shared" ca="1" si="71"/>
        <v>0</v>
      </c>
      <c r="L110" s="522"/>
      <c r="M110" s="45"/>
      <c r="N110" s="45"/>
      <c r="O110" s="136"/>
      <c r="P110" s="136"/>
      <c r="Q110" s="45"/>
      <c r="R110" s="45"/>
      <c r="S110" s="45"/>
      <c r="T110" s="136"/>
      <c r="U110" s="136"/>
    </row>
    <row r="111" spans="1:21" ht="12.75" hidden="1" x14ac:dyDescent="0.2">
      <c r="A111" s="163"/>
      <c r="B111" s="164"/>
      <c r="C111" s="164"/>
      <c r="D111" s="18"/>
      <c r="E111" s="18"/>
      <c r="F111" s="18"/>
      <c r="G111" s="19"/>
      <c r="H111" s="19"/>
      <c r="I111" s="20"/>
      <c r="J111" s="20"/>
      <c r="K111" s="21"/>
      <c r="L111" s="51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3"/>
      <c r="B112" s="164"/>
      <c r="C112" s="164"/>
      <c r="D112" s="18"/>
      <c r="E112" s="18"/>
      <c r="F112" s="18"/>
      <c r="G112" s="19"/>
      <c r="H112" s="19"/>
      <c r="I112" s="20"/>
      <c r="J112" s="20"/>
      <c r="K112" s="21"/>
      <c r="L112" s="51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3"/>
      <c r="B113" s="164"/>
      <c r="C113" s="164"/>
      <c r="D113" s="18"/>
      <c r="E113" s="18"/>
      <c r="F113" s="18"/>
      <c r="G113" s="19"/>
      <c r="H113" s="19"/>
      <c r="I113" s="20"/>
      <c r="J113" s="20"/>
      <c r="K113" s="21"/>
      <c r="L113" s="51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70"/>
      <c r="B114" s="171"/>
      <c r="C114" s="171"/>
      <c r="D114" s="761" t="s">
        <v>50</v>
      </c>
      <c r="E114" s="173"/>
      <c r="F114" s="173"/>
      <c r="G114" s="174"/>
      <c r="H114" s="175" t="s">
        <v>46</v>
      </c>
      <c r="I114" s="176">
        <f ca="1">IFERROR(__xludf.DUMMYFUNCTION("IMPORTRANGE(""https://docs.google.com/spreadsheets/d/1eHaY18a8A9IcSdp1K8H6x8fbOy06t2VsZHhMHf-1x7Y/edit?usp=sharing"",""แผน!N82"")"),30)</f>
        <v>30</v>
      </c>
      <c r="J114" s="177">
        <v>0</v>
      </c>
      <c r="K114" s="178">
        <f t="shared" ref="K114:K115" ca="1" si="72">IF(I114&gt;0,J114*100/I114,0)</f>
        <v>0</v>
      </c>
      <c r="L114" s="179"/>
      <c r="M114" s="179"/>
      <c r="N114" s="179"/>
      <c r="O114" s="180"/>
      <c r="P114" s="180"/>
      <c r="Q114" s="179"/>
      <c r="R114" s="179"/>
      <c r="S114" s="179"/>
      <c r="T114" s="180"/>
      <c r="U114" s="180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47" t="s">
        <v>35</v>
      </c>
      <c r="I115" s="151">
        <f ca="1">IFERROR(__xludf.DUMMYFUNCTION("IMPORTRANGE(""https://docs.google.com/spreadsheets/d/1eHaY18a8A9IcSdp1K8H6x8fbOy06t2VsZHhMHf-1x7Y/edit?usp=sharing"",""แผน!O82"")"),10)</f>
        <v>10</v>
      </c>
      <c r="J115" s="168">
        <v>0</v>
      </c>
      <c r="K115" s="46">
        <f t="shared" ca="1" si="72"/>
        <v>0</v>
      </c>
      <c r="L115" s="45"/>
      <c r="M115" s="45"/>
      <c r="N115" s="45"/>
      <c r="O115" s="136"/>
      <c r="P115" s="136"/>
      <c r="Q115" s="45"/>
      <c r="R115" s="45"/>
      <c r="S115" s="45"/>
      <c r="T115" s="136"/>
      <c r="U115" s="136"/>
    </row>
    <row r="116" spans="1:21" ht="19.5" x14ac:dyDescent="0.3">
      <c r="A116" s="548" t="s">
        <v>51</v>
      </c>
      <c r="B116" s="549"/>
      <c r="C116" s="550"/>
      <c r="D116" s="551"/>
      <c r="E116" s="551"/>
      <c r="F116" s="551"/>
      <c r="G116" s="551"/>
      <c r="H116" s="549"/>
      <c r="I116" s="552"/>
      <c r="J116" s="552"/>
      <c r="K116" s="55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84" t="s">
        <v>52</v>
      </c>
      <c r="C117" s="185"/>
      <c r="D117" s="125"/>
      <c r="E117" s="27"/>
      <c r="F117" s="27"/>
      <c r="G117" s="30"/>
      <c r="H117" s="186" t="s">
        <v>35</v>
      </c>
      <c r="I117" s="127">
        <f t="shared" ref="I117:J117" ca="1" si="73">I128</f>
        <v>15</v>
      </c>
      <c r="J117" s="127">
        <f t="shared" si="73"/>
        <v>0</v>
      </c>
      <c r="K117" s="34">
        <f ca="1">IF(I117&gt;0,J117*100/I117,0)</f>
        <v>0</v>
      </c>
      <c r="L117" s="54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 ht="19.5" x14ac:dyDescent="0.3">
      <c r="A118" s="128"/>
      <c r="B118" s="159"/>
      <c r="C118" s="351" t="s">
        <v>18</v>
      </c>
      <c r="D118" s="544" t="s">
        <v>19</v>
      </c>
      <c r="E118" s="199"/>
      <c r="F118" s="199"/>
      <c r="G118" s="42"/>
      <c r="H118" s="131" t="s">
        <v>14</v>
      </c>
      <c r="I118" s="44"/>
      <c r="J118" s="44"/>
      <c r="K118" s="45"/>
      <c r="L118" s="545">
        <f t="shared" ref="L118:N118" ca="1" si="74">L119+L120</f>
        <v>0</v>
      </c>
      <c r="M118" s="132">
        <f t="shared" ca="1" si="74"/>
        <v>0</v>
      </c>
      <c r="N118" s="132">
        <f t="shared" ca="1" si="74"/>
        <v>0</v>
      </c>
      <c r="O118" s="132">
        <f t="shared" ref="O118:O126" ca="1" si="75">IF(L118&gt;0,N118*100/L118,0)</f>
        <v>0</v>
      </c>
      <c r="P118" s="132">
        <f t="shared" ref="P118:P126" ca="1" si="76">IF(M118&gt;0,N118*100/M118,0)</f>
        <v>0</v>
      </c>
      <c r="Q118" s="132">
        <f t="shared" ref="Q118:S118" ca="1" si="77">Q119+Q120</f>
        <v>3541460</v>
      </c>
      <c r="R118" s="132">
        <f t="shared" ca="1" si="77"/>
        <v>3541460</v>
      </c>
      <c r="S118" s="132">
        <f t="shared" ca="1" si="77"/>
        <v>27160</v>
      </c>
      <c r="T118" s="132">
        <f t="shared" ref="T118:T126" ca="1" si="78">IF(Q118&gt;0,S118*100/Q118,0)</f>
        <v>0.76691534000101658</v>
      </c>
      <c r="U118" s="132">
        <f t="shared" ref="U118:U126" ca="1" si="79">IF(R118&gt;0,S118*100/R118,0)</f>
        <v>0.76691534000101658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199"/>
      <c r="G119" s="42"/>
      <c r="H119" s="158" t="s">
        <v>14</v>
      </c>
      <c r="I119" s="44"/>
      <c r="J119" s="44"/>
      <c r="K119" s="45"/>
      <c r="L119" s="521">
        <f t="shared" ref="L119:N120" si="80">L122+L125</f>
        <v>0</v>
      </c>
      <c r="M119" s="48">
        <f t="shared" si="80"/>
        <v>0</v>
      </c>
      <c r="N119" s="48">
        <f t="shared" si="80"/>
        <v>0</v>
      </c>
      <c r="O119" s="48">
        <f t="shared" si="75"/>
        <v>0</v>
      </c>
      <c r="P119" s="48">
        <f t="shared" si="76"/>
        <v>0</v>
      </c>
      <c r="Q119" s="48">
        <f t="shared" ref="Q119:S120" si="81">Q122+Q125</f>
        <v>0</v>
      </c>
      <c r="R119" s="48">
        <f t="shared" si="81"/>
        <v>0</v>
      </c>
      <c r="S119" s="48">
        <f t="shared" si="81"/>
        <v>0</v>
      </c>
      <c r="T119" s="48">
        <f t="shared" si="78"/>
        <v>0</v>
      </c>
      <c r="U119" s="48">
        <f t="shared" si="79"/>
        <v>0</v>
      </c>
    </row>
    <row r="120" spans="1:21" ht="18.75" hidden="1" x14ac:dyDescent="0.25">
      <c r="A120" s="128"/>
      <c r="B120" s="159"/>
      <c r="C120" s="159"/>
      <c r="D120" s="159"/>
      <c r="E120" s="270" t="s">
        <v>21</v>
      </c>
      <c r="F120" s="199"/>
      <c r="G120" s="42"/>
      <c r="H120" s="133" t="s">
        <v>14</v>
      </c>
      <c r="I120" s="44"/>
      <c r="J120" s="44"/>
      <c r="K120" s="45"/>
      <c r="L120" s="519">
        <f t="shared" ca="1" si="80"/>
        <v>0</v>
      </c>
      <c r="M120" s="46">
        <f t="shared" ca="1" si="80"/>
        <v>0</v>
      </c>
      <c r="N120" s="46">
        <f t="shared" ca="1" si="80"/>
        <v>0</v>
      </c>
      <c r="O120" s="46">
        <f t="shared" ca="1" si="75"/>
        <v>0</v>
      </c>
      <c r="P120" s="46">
        <f t="shared" ca="1" si="76"/>
        <v>0</v>
      </c>
      <c r="Q120" s="46">
        <f t="shared" ca="1" si="81"/>
        <v>3541460</v>
      </c>
      <c r="R120" s="46">
        <f t="shared" ca="1" si="81"/>
        <v>3541460</v>
      </c>
      <c r="S120" s="46">
        <f t="shared" ca="1" si="81"/>
        <v>27160</v>
      </c>
      <c r="T120" s="46">
        <f t="shared" ca="1" si="78"/>
        <v>0.76691534000101658</v>
      </c>
      <c r="U120" s="46">
        <f t="shared" ca="1" si="79"/>
        <v>0.76691534000101658</v>
      </c>
    </row>
    <row r="121" spans="1:21" ht="18.75" x14ac:dyDescent="0.25">
      <c r="A121" s="128"/>
      <c r="B121" s="159"/>
      <c r="C121" s="187"/>
      <c r="D121" s="554" t="s">
        <v>22</v>
      </c>
      <c r="E121" s="199"/>
      <c r="F121" s="199"/>
      <c r="G121" s="42"/>
      <c r="H121" s="188" t="s">
        <v>14</v>
      </c>
      <c r="I121" s="44"/>
      <c r="J121" s="44"/>
      <c r="K121" s="45"/>
      <c r="L121" s="519">
        <f t="shared" ref="L121:N121" ca="1" si="82">L122+L123</f>
        <v>0</v>
      </c>
      <c r="M121" s="46">
        <f t="shared" ca="1" si="82"/>
        <v>0</v>
      </c>
      <c r="N121" s="46">
        <f t="shared" ca="1" si="82"/>
        <v>0</v>
      </c>
      <c r="O121" s="46">
        <f t="shared" ca="1" si="75"/>
        <v>0</v>
      </c>
      <c r="P121" s="46">
        <f t="shared" ca="1" si="76"/>
        <v>0</v>
      </c>
      <c r="Q121" s="46">
        <f t="shared" ref="Q121:S121" ca="1" si="83">Q122+Q123</f>
        <v>3541460</v>
      </c>
      <c r="R121" s="46">
        <f t="shared" ca="1" si="83"/>
        <v>3541460</v>
      </c>
      <c r="S121" s="46">
        <f t="shared" ca="1" si="83"/>
        <v>27160</v>
      </c>
      <c r="T121" s="46">
        <f t="shared" ca="1" si="78"/>
        <v>0.76691534000101658</v>
      </c>
      <c r="U121" s="46">
        <f t="shared" ca="1" si="79"/>
        <v>0.76691534000101658</v>
      </c>
    </row>
    <row r="122" spans="1:21" ht="18.75" hidden="1" x14ac:dyDescent="0.25">
      <c r="A122" s="128"/>
      <c r="B122" s="159"/>
      <c r="C122" s="187"/>
      <c r="D122" s="159"/>
      <c r="E122" s="157" t="s">
        <v>36</v>
      </c>
      <c r="F122" s="199"/>
      <c r="G122" s="42"/>
      <c r="H122" s="189" t="s">
        <v>14</v>
      </c>
      <c r="I122" s="44"/>
      <c r="J122" s="44"/>
      <c r="K122" s="45"/>
      <c r="L122" s="521">
        <v>0</v>
      </c>
      <c r="M122" s="48">
        <v>0</v>
      </c>
      <c r="N122" s="48">
        <v>0</v>
      </c>
      <c r="O122" s="48">
        <f t="shared" si="75"/>
        <v>0</v>
      </c>
      <c r="P122" s="48">
        <f t="shared" si="76"/>
        <v>0</v>
      </c>
      <c r="Q122" s="48">
        <v>0</v>
      </c>
      <c r="R122" s="48">
        <v>0</v>
      </c>
      <c r="S122" s="48">
        <v>0</v>
      </c>
      <c r="T122" s="48">
        <f t="shared" si="78"/>
        <v>0</v>
      </c>
      <c r="U122" s="48">
        <f t="shared" si="79"/>
        <v>0</v>
      </c>
    </row>
    <row r="123" spans="1:21" ht="18.75" hidden="1" x14ac:dyDescent="0.25">
      <c r="A123" s="128"/>
      <c r="B123" s="159"/>
      <c r="C123" s="187"/>
      <c r="D123" s="159"/>
      <c r="E123" s="270" t="s">
        <v>37</v>
      </c>
      <c r="F123" s="199"/>
      <c r="G123" s="42"/>
      <c r="H123" s="188" t="s">
        <v>14</v>
      </c>
      <c r="I123" s="44"/>
      <c r="J123" s="44"/>
      <c r="K123" s="45"/>
      <c r="L123" s="519">
        <f ca="1">IFERROR(__xludf.DUMMYFUNCTION("IMPORTRANGE(""https://docs.google.com/spreadsheets/d/1-uDff_7J0KD5mKrp0Vvzr7lt3OU09vwQwhkpOPPYv2Y/edit?usp=sharing"",""งบพรบ!BG82"")"),0)</f>
        <v>0</v>
      </c>
      <c r="M123" s="46">
        <f ca="1">IFERROR(__xludf.DUMMYFUNCTION("IMPORTRANGE(""https://docs.google.com/spreadsheets/d/1-uDff_7J0KD5mKrp0Vvzr7lt3OU09vwQwhkpOPPYv2Y/edit?usp=sharing"",""งบพรบ!BL82"")"),0)</f>
        <v>0</v>
      </c>
      <c r="N123" s="46">
        <f ca="1">IFERROR(__xludf.DUMMYFUNCTION("IMPORTRANGE(""https://docs.google.com/spreadsheets/d/1-uDff_7J0KD5mKrp0Vvzr7lt3OU09vwQwhkpOPPYv2Y/edit?usp=sharing"",""งบพรบ!BN82"")"),0)</f>
        <v>0</v>
      </c>
      <c r="O123" s="46">
        <f t="shared" ca="1" si="75"/>
        <v>0</v>
      </c>
      <c r="P123" s="46">
        <f t="shared" ca="1" si="76"/>
        <v>0</v>
      </c>
      <c r="Q123" s="46">
        <f ca="1">IFERROR(__xludf.DUMMYFUNCTION("IMPORTRANGE(""https://docs.google.com/spreadsheets/d/1ItG2mGa2ceCfYo0BwxsXqNm01IGEUdYcSSLTEv9YCik/edit?usp=sharing"",""เบิกจ่ายกองทุน!R82"")"),3541460)</f>
        <v>3541460</v>
      </c>
      <c r="R123" s="46">
        <f ca="1">IFERROR(__xludf.DUMMYFUNCTION("IMPORTRANGE(""https://docs.google.com/spreadsheets/d/1ItG2mGa2ceCfYo0BwxsXqNm01IGEUdYcSSLTEv9YCik/edit?usp=sharing"",""เบิกจ่ายกองทุน!S82"")"),3541460)</f>
        <v>3541460</v>
      </c>
      <c r="S123" s="46">
        <f ca="1">IFERROR(__xludf.DUMMYFUNCTION("IMPORTRANGE(""https://docs.google.com/spreadsheets/d/1ItG2mGa2ceCfYo0BwxsXqNm01IGEUdYcSSLTEv9YCik/edit?usp=sharing"",""เบิกจ่ายกองทุน!T82"")"),27160)</f>
        <v>27160</v>
      </c>
      <c r="T123" s="46">
        <f t="shared" ca="1" si="78"/>
        <v>0.76691534000101658</v>
      </c>
      <c r="U123" s="46">
        <f t="shared" ca="1" si="79"/>
        <v>0.76691534000101658</v>
      </c>
    </row>
    <row r="124" spans="1:21" ht="18.75" x14ac:dyDescent="0.25">
      <c r="A124" s="128"/>
      <c r="B124" s="199"/>
      <c r="C124" s="187"/>
      <c r="D124" s="554" t="s">
        <v>23</v>
      </c>
      <c r="E124" s="199"/>
      <c r="F124" s="199"/>
      <c r="G124" s="42"/>
      <c r="H124" s="133" t="s">
        <v>14</v>
      </c>
      <c r="I124" s="44"/>
      <c r="J124" s="44"/>
      <c r="K124" s="45"/>
      <c r="L124" s="519">
        <f t="shared" ref="L124:N124" ca="1" si="84">L125+L126</f>
        <v>0</v>
      </c>
      <c r="M124" s="46">
        <f t="shared" ca="1" si="84"/>
        <v>0</v>
      </c>
      <c r="N124" s="46">
        <f t="shared" ca="1" si="84"/>
        <v>0</v>
      </c>
      <c r="O124" s="46">
        <f t="shared" ca="1" si="75"/>
        <v>0</v>
      </c>
      <c r="P124" s="46">
        <f t="shared" ca="1" si="76"/>
        <v>0</v>
      </c>
      <c r="Q124" s="46">
        <f t="shared" ref="Q124:S124" si="85">Q125+Q126</f>
        <v>0</v>
      </c>
      <c r="R124" s="46">
        <f t="shared" si="85"/>
        <v>0</v>
      </c>
      <c r="S124" s="46">
        <f t="shared" si="85"/>
        <v>0</v>
      </c>
      <c r="T124" s="46">
        <f t="shared" si="78"/>
        <v>0</v>
      </c>
      <c r="U124" s="46">
        <f t="shared" si="79"/>
        <v>0</v>
      </c>
    </row>
    <row r="125" spans="1:21" ht="18.75" hidden="1" x14ac:dyDescent="0.25">
      <c r="A125" s="128"/>
      <c r="B125" s="199"/>
      <c r="C125" s="187"/>
      <c r="D125" s="159"/>
      <c r="E125" s="157" t="s">
        <v>20</v>
      </c>
      <c r="F125" s="199"/>
      <c r="G125" s="42"/>
      <c r="H125" s="189" t="s">
        <v>14</v>
      </c>
      <c r="I125" s="44"/>
      <c r="J125" s="44"/>
      <c r="K125" s="45"/>
      <c r="L125" s="521">
        <v>0</v>
      </c>
      <c r="M125" s="48">
        <v>0</v>
      </c>
      <c r="N125" s="48">
        <v>0</v>
      </c>
      <c r="O125" s="48">
        <f t="shared" si="75"/>
        <v>0</v>
      </c>
      <c r="P125" s="48">
        <f t="shared" si="76"/>
        <v>0</v>
      </c>
      <c r="Q125" s="48">
        <v>0</v>
      </c>
      <c r="R125" s="48">
        <v>0</v>
      </c>
      <c r="S125" s="48">
        <v>0</v>
      </c>
      <c r="T125" s="48">
        <f t="shared" si="78"/>
        <v>0</v>
      </c>
      <c r="U125" s="48">
        <f t="shared" si="79"/>
        <v>0</v>
      </c>
    </row>
    <row r="126" spans="1:21" ht="18.75" hidden="1" x14ac:dyDescent="0.25">
      <c r="A126" s="128"/>
      <c r="B126" s="199"/>
      <c r="C126" s="199"/>
      <c r="D126" s="199"/>
      <c r="E126" s="270" t="s">
        <v>21</v>
      </c>
      <c r="F126" s="199"/>
      <c r="G126" s="42"/>
      <c r="H126" s="133" t="s">
        <v>14</v>
      </c>
      <c r="I126" s="44"/>
      <c r="J126" s="44"/>
      <c r="K126" s="45"/>
      <c r="L126" s="519">
        <f ca="1">IFERROR(__xludf.DUMMYFUNCTION("IMPORTRANGE(""https://docs.google.com/spreadsheets/d/1-uDff_7J0KD5mKrp0Vvzr7lt3OU09vwQwhkpOPPYv2Y/edit?usp=sharing"",""งบพรบ!BJ82"")"),0)</f>
        <v>0</v>
      </c>
      <c r="M126" s="46">
        <f ca="1">IFERROR(__xludf.DUMMYFUNCTION("IMPORTRANGE(""https://docs.google.com/spreadsheets/d/1-uDff_7J0KD5mKrp0Vvzr7lt3OU09vwQwhkpOPPYv2Y/edit?usp=sharing"",""งบพรบ!BM82"")"),0)</f>
        <v>0</v>
      </c>
      <c r="N126" s="46">
        <f ca="1">IFERROR(__xludf.DUMMYFUNCTION("IMPORTRANGE(""https://docs.google.com/spreadsheets/d/1-uDff_7J0KD5mKrp0Vvzr7lt3OU09vwQwhkpOPPYv2Y/edit?usp=sharing"",""งบพรบ!BO82"")"),0)</f>
        <v>0</v>
      </c>
      <c r="O126" s="46">
        <f t="shared" ca="1" si="75"/>
        <v>0</v>
      </c>
      <c r="P126" s="46">
        <f t="shared" ca="1" si="76"/>
        <v>0</v>
      </c>
      <c r="Q126" s="46">
        <v>0</v>
      </c>
      <c r="R126" s="46">
        <v>0</v>
      </c>
      <c r="S126" s="46">
        <v>0</v>
      </c>
      <c r="T126" s="46">
        <f t="shared" si="78"/>
        <v>0</v>
      </c>
      <c r="U126" s="46">
        <f t="shared" si="79"/>
        <v>0</v>
      </c>
    </row>
    <row r="127" spans="1:21" ht="19.5" x14ac:dyDescent="0.3">
      <c r="A127" s="138"/>
      <c r="B127" s="139"/>
      <c r="C127" s="190" t="s">
        <v>18</v>
      </c>
      <c r="D127" s="546" t="s">
        <v>38</v>
      </c>
      <c r="E127" s="141"/>
      <c r="F127" s="141"/>
      <c r="G127" s="142"/>
      <c r="H127" s="191"/>
      <c r="I127" s="44"/>
      <c r="J127" s="44"/>
      <c r="K127" s="45"/>
      <c r="L127" s="522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67" t="s">
        <v>53</v>
      </c>
      <c r="E128" s="169"/>
      <c r="F128" s="169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IFERROR(__xludf.DUMMYFUNCTION("IMPORTRANGE(""https://docs.google.com/spreadsheets/d/1eHaY18a8A9IcSdp1K8H6x8fbOy06t2VsZHhMHf-1x7Y/edit?usp=sharing"",""แผน!FF82"")"),15)</f>
        <v>15</v>
      </c>
      <c r="J128" s="168">
        <v>0</v>
      </c>
      <c r="K128" s="46">
        <f t="shared" ref="K128:K131" ca="1" si="86">IF(I128&gt;0,J128*100/I128,0)</f>
        <v>0</v>
      </c>
      <c r="L128" s="522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IFERROR(__xludf.DUMMYFUNCTION("IMPORTRANGE(""https://docs.google.com/spreadsheets/d/1eHaY18a8A9IcSdp1K8H6x8fbOy06t2VsZHhMHf-1x7Y/edit?usp=sharing"",""แผน!FG82"")"),0)</f>
        <v>0</v>
      </c>
      <c r="J129" s="168">
        <v>0</v>
      </c>
      <c r="K129" s="46">
        <f t="shared" ca="1" si="86"/>
        <v>0</v>
      </c>
      <c r="L129" s="522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67" t="s">
        <v>55</v>
      </c>
      <c r="E130" s="169"/>
      <c r="F130" s="169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IFERROR(__xludf.DUMMYFUNCTION("IMPORTRANGE(""https://docs.google.com/spreadsheets/d/1eHaY18a8A9IcSdp1K8H6x8fbOy06t2VsZHhMHf-1x7Y/edit?usp=sharing"",""แผน!FH82"")"),15)</f>
        <v>15</v>
      </c>
      <c r="J130" s="168">
        <v>0</v>
      </c>
      <c r="K130" s="46">
        <f t="shared" ca="1" si="86"/>
        <v>0</v>
      </c>
      <c r="L130" s="522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IFERROR(__xludf.DUMMYFUNCTION("IMPORTRANGE(""https://docs.google.com/spreadsheets/d/1eHaY18a8A9IcSdp1K8H6x8fbOy06t2VsZHhMHf-1x7Y/edit?usp=sharing"",""แผน!FI82"")"),0)</f>
        <v>0</v>
      </c>
      <c r="J131" s="168">
        <v>0</v>
      </c>
      <c r="K131" s="46">
        <f t="shared" ca="1" si="86"/>
        <v>0</v>
      </c>
      <c r="L131" s="522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92" t="s">
        <v>56</v>
      </c>
      <c r="E132" s="169"/>
      <c r="F132" s="169"/>
      <c r="G132" s="143"/>
      <c r="H132" s="158" t="s">
        <v>35</v>
      </c>
      <c r="I132" s="44"/>
      <c r="J132" s="44"/>
      <c r="K132" s="45"/>
      <c r="L132" s="522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8.75" hidden="1" x14ac:dyDescent="0.25">
      <c r="A133" s="138"/>
      <c r="B133" s="139"/>
      <c r="C133" s="139"/>
      <c r="D133" s="192" t="s">
        <v>57</v>
      </c>
      <c r="E133" s="169"/>
      <c r="F133" s="169"/>
      <c r="G133" s="143"/>
      <c r="H133" s="193"/>
      <c r="I133" s="44"/>
      <c r="J133" s="44"/>
      <c r="K133" s="45"/>
      <c r="L133" s="522"/>
      <c r="M133" s="45"/>
      <c r="N133" s="45"/>
      <c r="O133" s="45"/>
      <c r="P133" s="45"/>
      <c r="Q133" s="45"/>
      <c r="R133" s="45"/>
      <c r="S133" s="45"/>
      <c r="T133" s="45"/>
      <c r="U133" s="45"/>
    </row>
    <row r="134" spans="1:21" ht="12.75" hidden="1" x14ac:dyDescent="0.2">
      <c r="A134" s="163"/>
      <c r="B134" s="164"/>
      <c r="C134" s="164"/>
      <c r="D134" s="18"/>
      <c r="E134" s="18"/>
      <c r="F134" s="18"/>
      <c r="G134" s="19"/>
      <c r="H134" s="194"/>
      <c r="I134" s="20"/>
      <c r="J134" s="20"/>
      <c r="K134" s="21"/>
      <c r="L134" s="512"/>
      <c r="M134" s="21"/>
      <c r="N134" s="21"/>
      <c r="O134" s="21"/>
      <c r="P134" s="21"/>
      <c r="Q134" s="21"/>
      <c r="R134" s="21"/>
      <c r="S134" s="21"/>
      <c r="T134" s="21"/>
      <c r="U134" s="21"/>
    </row>
    <row r="135" spans="1:21" ht="19.5" x14ac:dyDescent="0.3">
      <c r="A135" s="117" t="s">
        <v>58</v>
      </c>
      <c r="B135" s="118"/>
      <c r="C135" s="181"/>
      <c r="D135" s="118"/>
      <c r="E135" s="118"/>
      <c r="F135" s="118"/>
      <c r="G135" s="118"/>
      <c r="H135" s="118"/>
      <c r="I135" s="182"/>
      <c r="J135" s="182"/>
      <c r="K135" s="18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85"/>
      <c r="D136" s="125"/>
      <c r="E136" s="27"/>
      <c r="F136" s="27"/>
      <c r="G136" s="27"/>
      <c r="H136" s="27"/>
      <c r="I136" s="195"/>
      <c r="J136" s="32"/>
      <c r="K136" s="33"/>
      <c r="L136" s="54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3"/>
      <c r="B137" s="27"/>
      <c r="C137" s="196" t="s">
        <v>60</v>
      </c>
      <c r="D137" s="125"/>
      <c r="E137" s="27"/>
      <c r="F137" s="27"/>
      <c r="G137" s="30"/>
      <c r="H137" s="197" t="s">
        <v>61</v>
      </c>
      <c r="I137" s="127">
        <f t="shared" ref="I137:J137" ca="1" si="87">I155</f>
        <v>2</v>
      </c>
      <c r="J137" s="127">
        <f t="shared" si="87"/>
        <v>0</v>
      </c>
      <c r="K137" s="34">
        <f t="shared" ref="K137:K139" ca="1" si="88">IF(I137&gt;0,J137*100/I137,0)</f>
        <v>0</v>
      </c>
      <c r="L137" s="54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3"/>
      <c r="B138" s="27"/>
      <c r="C138" s="196" t="s">
        <v>62</v>
      </c>
      <c r="D138" s="125"/>
      <c r="E138" s="27"/>
      <c r="F138" s="27"/>
      <c r="G138" s="30"/>
      <c r="H138" s="197" t="s">
        <v>35</v>
      </c>
      <c r="I138" s="127">
        <f t="shared" ref="I138:J139" ca="1" si="89">I153</f>
        <v>60</v>
      </c>
      <c r="J138" s="127">
        <f t="shared" si="89"/>
        <v>0</v>
      </c>
      <c r="K138" s="34">
        <f t="shared" ca="1" si="88"/>
        <v>0</v>
      </c>
      <c r="L138" s="54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3"/>
      <c r="B139" s="27"/>
      <c r="C139" s="185"/>
      <c r="D139" s="125"/>
      <c r="E139" s="27"/>
      <c r="F139" s="27"/>
      <c r="G139" s="30"/>
      <c r="H139" s="197" t="s">
        <v>54</v>
      </c>
      <c r="I139" s="127">
        <f t="shared" ca="1" si="89"/>
        <v>6</v>
      </c>
      <c r="J139" s="127">
        <f t="shared" si="89"/>
        <v>0</v>
      </c>
      <c r="K139" s="34">
        <f t="shared" ca="1" si="88"/>
        <v>0</v>
      </c>
      <c r="L139" s="54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ht="19.5" x14ac:dyDescent="0.3">
      <c r="A140" s="128"/>
      <c r="B140" s="199"/>
      <c r="C140" s="198" t="s">
        <v>18</v>
      </c>
      <c r="D140" s="544" t="s">
        <v>19</v>
      </c>
      <c r="E140" s="199"/>
      <c r="F140" s="199"/>
      <c r="G140" s="42"/>
      <c r="H140" s="131" t="s">
        <v>14</v>
      </c>
      <c r="I140" s="44"/>
      <c r="J140" s="44"/>
      <c r="K140" s="45"/>
      <c r="L140" s="545">
        <f t="shared" ref="L140:N140" ca="1" si="90">L141+L142</f>
        <v>91400</v>
      </c>
      <c r="M140" s="132">
        <f t="shared" ca="1" si="90"/>
        <v>86400</v>
      </c>
      <c r="N140" s="132">
        <f t="shared" ca="1" si="90"/>
        <v>34870</v>
      </c>
      <c r="O140" s="132">
        <f t="shared" ref="O140:O148" ca="1" si="91">IF(L140&gt;0,N140*100/L140,0)</f>
        <v>38.15098468271335</v>
      </c>
      <c r="P140" s="132">
        <f t="shared" ref="P140:P148" ca="1" si="92">IF(M140&gt;0,N140*100/M140,0)</f>
        <v>40.358796296296298</v>
      </c>
      <c r="Q140" s="132">
        <f t="shared" ref="Q140:S140" ca="1" si="93">Q141+Q142</f>
        <v>0</v>
      </c>
      <c r="R140" s="132">
        <f t="shared" ca="1" si="93"/>
        <v>0</v>
      </c>
      <c r="S140" s="132">
        <f t="shared" ca="1" si="93"/>
        <v>0</v>
      </c>
      <c r="T140" s="132">
        <f t="shared" ref="T140:T148" ca="1" si="94">IF(Q140&gt;0,S140*100/Q140,0)</f>
        <v>0</v>
      </c>
      <c r="U140" s="132">
        <f t="shared" ref="U140:U148" ca="1" si="95">IF(R140&gt;0,S140*100/R140,0)</f>
        <v>0</v>
      </c>
    </row>
    <row r="141" spans="1:21" ht="18.75" hidden="1" x14ac:dyDescent="0.25">
      <c r="A141" s="128"/>
      <c r="B141" s="199"/>
      <c r="C141" s="199"/>
      <c r="D141" s="199"/>
      <c r="E141" s="157" t="s">
        <v>20</v>
      </c>
      <c r="F141" s="199"/>
      <c r="G141" s="42"/>
      <c r="H141" s="158" t="s">
        <v>14</v>
      </c>
      <c r="I141" s="44"/>
      <c r="J141" s="44"/>
      <c r="K141" s="45"/>
      <c r="L141" s="521">
        <f t="shared" ref="L141:N142" si="96">L144+L147</f>
        <v>0</v>
      </c>
      <c r="M141" s="48">
        <f t="shared" si="96"/>
        <v>0</v>
      </c>
      <c r="N141" s="48">
        <f t="shared" si="96"/>
        <v>0</v>
      </c>
      <c r="O141" s="48">
        <f t="shared" si="91"/>
        <v>0</v>
      </c>
      <c r="P141" s="48">
        <f t="shared" si="92"/>
        <v>0</v>
      </c>
      <c r="Q141" s="48">
        <f t="shared" ref="Q141:S142" si="97">Q144+Q147</f>
        <v>0</v>
      </c>
      <c r="R141" s="48">
        <f t="shared" si="97"/>
        <v>0</v>
      </c>
      <c r="S141" s="48">
        <f t="shared" si="97"/>
        <v>0</v>
      </c>
      <c r="T141" s="48">
        <f t="shared" si="94"/>
        <v>0</v>
      </c>
      <c r="U141" s="48">
        <f t="shared" si="95"/>
        <v>0</v>
      </c>
    </row>
    <row r="142" spans="1:21" ht="18.75" hidden="1" x14ac:dyDescent="0.25">
      <c r="A142" s="128"/>
      <c r="B142" s="199"/>
      <c r="C142" s="199"/>
      <c r="D142" s="199"/>
      <c r="E142" s="270" t="s">
        <v>21</v>
      </c>
      <c r="F142" s="199"/>
      <c r="G142" s="42"/>
      <c r="H142" s="133" t="s">
        <v>14</v>
      </c>
      <c r="I142" s="44"/>
      <c r="J142" s="44"/>
      <c r="K142" s="45"/>
      <c r="L142" s="519">
        <f t="shared" ca="1" si="96"/>
        <v>91400</v>
      </c>
      <c r="M142" s="46">
        <f t="shared" ca="1" si="96"/>
        <v>86400</v>
      </c>
      <c r="N142" s="46">
        <f t="shared" ca="1" si="96"/>
        <v>34870</v>
      </c>
      <c r="O142" s="46">
        <f t="shared" ca="1" si="91"/>
        <v>38.15098468271335</v>
      </c>
      <c r="P142" s="46">
        <f t="shared" ca="1" si="92"/>
        <v>40.358796296296298</v>
      </c>
      <c r="Q142" s="46">
        <f t="shared" ca="1" si="97"/>
        <v>0</v>
      </c>
      <c r="R142" s="46">
        <f t="shared" ca="1" si="97"/>
        <v>0</v>
      </c>
      <c r="S142" s="46">
        <f t="shared" ca="1" si="97"/>
        <v>0</v>
      </c>
      <c r="T142" s="46">
        <f t="shared" ca="1" si="94"/>
        <v>0</v>
      </c>
      <c r="U142" s="46">
        <f t="shared" ca="1" si="95"/>
        <v>0</v>
      </c>
    </row>
    <row r="143" spans="1:21" ht="18.75" x14ac:dyDescent="0.25">
      <c r="A143" s="128"/>
      <c r="B143" s="199"/>
      <c r="C143" s="199"/>
      <c r="D143" s="41" t="s">
        <v>22</v>
      </c>
      <c r="E143" s="199"/>
      <c r="F143" s="199"/>
      <c r="G143" s="42"/>
      <c r="H143" s="134" t="s">
        <v>14</v>
      </c>
      <c r="I143" s="135"/>
      <c r="J143" s="135"/>
      <c r="K143" s="136"/>
      <c r="L143" s="519">
        <f t="shared" ref="L143:N143" ca="1" si="98">L144+L145</f>
        <v>91400</v>
      </c>
      <c r="M143" s="46">
        <f t="shared" ca="1" si="98"/>
        <v>86400</v>
      </c>
      <c r="N143" s="46">
        <f t="shared" ca="1" si="98"/>
        <v>34870</v>
      </c>
      <c r="O143" s="46">
        <f t="shared" ca="1" si="91"/>
        <v>38.15098468271335</v>
      </c>
      <c r="P143" s="46">
        <f t="shared" ca="1" si="92"/>
        <v>40.358796296296298</v>
      </c>
      <c r="Q143" s="46">
        <f t="shared" ref="Q143:S143" ca="1" si="99">Q144+Q145</f>
        <v>0</v>
      </c>
      <c r="R143" s="46">
        <f t="shared" ca="1" si="99"/>
        <v>0</v>
      </c>
      <c r="S143" s="46">
        <f t="shared" ca="1" si="99"/>
        <v>0</v>
      </c>
      <c r="T143" s="46">
        <f t="shared" ca="1" si="94"/>
        <v>0</v>
      </c>
      <c r="U143" s="46">
        <f t="shared" ca="1" si="95"/>
        <v>0</v>
      </c>
    </row>
    <row r="144" spans="1:21" ht="18.75" hidden="1" x14ac:dyDescent="0.25">
      <c r="A144" s="128"/>
      <c r="B144" s="199"/>
      <c r="C144" s="199"/>
      <c r="D144" s="199"/>
      <c r="E144" s="157" t="s">
        <v>36</v>
      </c>
      <c r="F144" s="199"/>
      <c r="G144" s="42"/>
      <c r="H144" s="160" t="s">
        <v>14</v>
      </c>
      <c r="I144" s="135"/>
      <c r="J144" s="135"/>
      <c r="K144" s="136"/>
      <c r="L144" s="521">
        <v>0</v>
      </c>
      <c r="M144" s="48">
        <v>0</v>
      </c>
      <c r="N144" s="48">
        <v>0</v>
      </c>
      <c r="O144" s="48">
        <f t="shared" si="91"/>
        <v>0</v>
      </c>
      <c r="P144" s="48">
        <f t="shared" si="92"/>
        <v>0</v>
      </c>
      <c r="Q144" s="48">
        <v>0</v>
      </c>
      <c r="R144" s="48">
        <v>0</v>
      </c>
      <c r="S144" s="48">
        <v>0</v>
      </c>
      <c r="T144" s="48">
        <f t="shared" si="94"/>
        <v>0</v>
      </c>
      <c r="U144" s="48">
        <f t="shared" si="95"/>
        <v>0</v>
      </c>
    </row>
    <row r="145" spans="1:21" ht="18.75" hidden="1" x14ac:dyDescent="0.25">
      <c r="A145" s="128"/>
      <c r="B145" s="199"/>
      <c r="C145" s="199"/>
      <c r="D145" s="199"/>
      <c r="E145" s="270" t="s">
        <v>37</v>
      </c>
      <c r="F145" s="199"/>
      <c r="G145" s="42"/>
      <c r="H145" s="134" t="s">
        <v>14</v>
      </c>
      <c r="I145" s="135"/>
      <c r="J145" s="135"/>
      <c r="K145" s="136"/>
      <c r="L145" s="519">
        <f ca="1">IFERROR(__xludf.DUMMYFUNCTION("IMPORTRANGE(""https://docs.google.com/spreadsheets/d/1-uDff_7J0KD5mKrp0Vvzr7lt3OU09vwQwhkpOPPYv2Y/edit?usp=sharing"",""งบพรบ!BQ82"")"),91400)</f>
        <v>91400</v>
      </c>
      <c r="M145" s="46">
        <f ca="1">IFERROR(__xludf.DUMMYFUNCTION("IMPORTRANGE(""https://docs.google.com/spreadsheets/d/1-uDff_7J0KD5mKrp0Vvzr7lt3OU09vwQwhkpOPPYv2Y/edit?usp=sharing"",""งบพรบ!BV82"")"),86400)</f>
        <v>86400</v>
      </c>
      <c r="N145" s="46">
        <f ca="1">IFERROR(__xludf.DUMMYFUNCTION("IMPORTRANGE(""https://docs.google.com/spreadsheets/d/1-uDff_7J0KD5mKrp0Vvzr7lt3OU09vwQwhkpOPPYv2Y/edit?usp=sharing"",""งบพรบ!BX82"")"),34870)</f>
        <v>34870</v>
      </c>
      <c r="O145" s="46">
        <f t="shared" ca="1" si="91"/>
        <v>38.15098468271335</v>
      </c>
      <c r="P145" s="46">
        <f t="shared" ca="1" si="92"/>
        <v>40.358796296296298</v>
      </c>
      <c r="Q145" s="46">
        <f ca="1">IFERROR(__xludf.DUMMYFUNCTION("IMPORTRANGE(""https://docs.google.com/spreadsheets/d/1ItG2mGa2ceCfYo0BwxsXqNm01IGEUdYcSSLTEv9YCik/edit?usp=sharing"",""เบิกจ่ายกองทุน!BB82"")"),0)</f>
        <v>0</v>
      </c>
      <c r="R145" s="46">
        <f ca="1">IFERROR(__xludf.DUMMYFUNCTION("IMPORTRANGE(""https://docs.google.com/spreadsheets/d/1ItG2mGa2ceCfYo0BwxsXqNm01IGEUdYcSSLTEv9YCik/edit?usp=sharing"",""เบิกจ่ายกองทุน!BC82"")"),0)</f>
        <v>0</v>
      </c>
      <c r="S145" s="46">
        <f ca="1">IFERROR(__xludf.DUMMYFUNCTION("IMPORTRANGE(""https://docs.google.com/spreadsheets/d/1ItG2mGa2ceCfYo0BwxsXqNm01IGEUdYcSSLTEv9YCik/edit?usp=sharing"",""เบิกจ่ายกองทุน!BD82"")"),0)</f>
        <v>0</v>
      </c>
      <c r="T145" s="46">
        <f t="shared" ca="1" si="94"/>
        <v>0</v>
      </c>
      <c r="U145" s="46">
        <f t="shared" ca="1" si="95"/>
        <v>0</v>
      </c>
    </row>
    <row r="146" spans="1:21" ht="18.75" x14ac:dyDescent="0.25">
      <c r="A146" s="128"/>
      <c r="B146" s="199"/>
      <c r="C146" s="199"/>
      <c r="D146" s="41" t="s">
        <v>23</v>
      </c>
      <c r="E146" s="199"/>
      <c r="F146" s="199"/>
      <c r="G146" s="42"/>
      <c r="H146" s="137" t="s">
        <v>14</v>
      </c>
      <c r="I146" s="135"/>
      <c r="J146" s="135"/>
      <c r="K146" s="136"/>
      <c r="L146" s="519">
        <f t="shared" ref="L146:N146" ca="1" si="100">L147+L148</f>
        <v>0</v>
      </c>
      <c r="M146" s="46">
        <f t="shared" ca="1" si="100"/>
        <v>0</v>
      </c>
      <c r="N146" s="46">
        <f t="shared" ca="1" si="100"/>
        <v>0</v>
      </c>
      <c r="O146" s="46">
        <f t="shared" ca="1" si="91"/>
        <v>0</v>
      </c>
      <c r="P146" s="46">
        <f t="shared" ca="1" si="92"/>
        <v>0</v>
      </c>
      <c r="Q146" s="46">
        <f t="shared" ref="Q146:S146" si="101">Q147+Q148</f>
        <v>0</v>
      </c>
      <c r="R146" s="46">
        <f t="shared" si="101"/>
        <v>0</v>
      </c>
      <c r="S146" s="46">
        <f t="shared" si="101"/>
        <v>0</v>
      </c>
      <c r="T146" s="46">
        <f t="shared" si="94"/>
        <v>0</v>
      </c>
      <c r="U146" s="46">
        <f t="shared" si="95"/>
        <v>0</v>
      </c>
    </row>
    <row r="147" spans="1:21" ht="18.75" hidden="1" x14ac:dyDescent="0.25">
      <c r="A147" s="128"/>
      <c r="B147" s="199"/>
      <c r="C147" s="199"/>
      <c r="D147" s="199"/>
      <c r="E147" s="157" t="s">
        <v>20</v>
      </c>
      <c r="F147" s="199"/>
      <c r="G147" s="42"/>
      <c r="H147" s="160" t="s">
        <v>14</v>
      </c>
      <c r="I147" s="135"/>
      <c r="J147" s="135"/>
      <c r="K147" s="136"/>
      <c r="L147" s="521">
        <v>0</v>
      </c>
      <c r="M147" s="48">
        <v>0</v>
      </c>
      <c r="N147" s="48">
        <v>0</v>
      </c>
      <c r="O147" s="48">
        <f t="shared" si="91"/>
        <v>0</v>
      </c>
      <c r="P147" s="48">
        <f t="shared" si="92"/>
        <v>0</v>
      </c>
      <c r="Q147" s="48">
        <v>0</v>
      </c>
      <c r="R147" s="48">
        <v>0</v>
      </c>
      <c r="S147" s="48">
        <v>0</v>
      </c>
      <c r="T147" s="48">
        <f t="shared" si="94"/>
        <v>0</v>
      </c>
      <c r="U147" s="48">
        <f t="shared" si="95"/>
        <v>0</v>
      </c>
    </row>
    <row r="148" spans="1:21" ht="18.75" hidden="1" x14ac:dyDescent="0.25">
      <c r="A148" s="128"/>
      <c r="B148" s="199"/>
      <c r="C148" s="199"/>
      <c r="D148" s="199"/>
      <c r="E148" s="270" t="s">
        <v>21</v>
      </c>
      <c r="F148" s="199"/>
      <c r="G148" s="42"/>
      <c r="H148" s="137" t="s">
        <v>14</v>
      </c>
      <c r="I148" s="135"/>
      <c r="J148" s="135"/>
      <c r="K148" s="136"/>
      <c r="L148" s="519">
        <f ca="1">IFERROR(__xludf.DUMMYFUNCTION("IMPORTRANGE(""https://docs.google.com/spreadsheets/d/1-uDff_7J0KD5mKrp0Vvzr7lt3OU09vwQwhkpOPPYv2Y/edit?usp=sharing"",""งบพรบ!BT82"")"),0)</f>
        <v>0</v>
      </c>
      <c r="M148" s="46">
        <f ca="1">IFERROR(__xludf.DUMMYFUNCTION("IMPORTRANGE(""https://docs.google.com/spreadsheets/d/1-uDff_7J0KD5mKrp0Vvzr7lt3OU09vwQwhkpOPPYv2Y/edit?usp=sharing"",""งบพรบ!BW82"")"),0)</f>
        <v>0</v>
      </c>
      <c r="N148" s="46">
        <f ca="1">IFERROR(__xludf.DUMMYFUNCTION("IMPORTRANGE(""https://docs.google.com/spreadsheets/d/1-uDff_7J0KD5mKrp0Vvzr7lt3OU09vwQwhkpOPPYv2Y/edit?usp=sharing"",""งบพรบ!BY82"")"),0)</f>
        <v>0</v>
      </c>
      <c r="O148" s="46">
        <f t="shared" ca="1" si="91"/>
        <v>0</v>
      </c>
      <c r="P148" s="46">
        <f t="shared" ca="1" si="92"/>
        <v>0</v>
      </c>
      <c r="Q148" s="46">
        <v>0</v>
      </c>
      <c r="R148" s="46">
        <v>0</v>
      </c>
      <c r="S148" s="46">
        <v>0</v>
      </c>
      <c r="T148" s="46">
        <f t="shared" si="94"/>
        <v>0</v>
      </c>
      <c r="U148" s="46">
        <f t="shared" si="95"/>
        <v>0</v>
      </c>
    </row>
    <row r="149" spans="1:21" ht="19.5" x14ac:dyDescent="0.3">
      <c r="A149" s="138"/>
      <c r="B149" s="139"/>
      <c r="C149" s="198" t="s">
        <v>18</v>
      </c>
      <c r="D149" s="546" t="s">
        <v>38</v>
      </c>
      <c r="E149" s="141"/>
      <c r="F149" s="141"/>
      <c r="G149" s="142"/>
      <c r="H149" s="191"/>
      <c r="I149" s="44"/>
      <c r="J149" s="44"/>
      <c r="K149" s="45"/>
      <c r="L149" s="522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8.75" x14ac:dyDescent="0.25">
      <c r="A150" s="128"/>
      <c r="B150" s="199"/>
      <c r="C150" s="199"/>
      <c r="D150" s="270" t="s">
        <v>63</v>
      </c>
      <c r="E150" s="199"/>
      <c r="F150" s="199"/>
      <c r="G150" s="42"/>
      <c r="H150" s="191"/>
      <c r="I150" s="44"/>
      <c r="J150" s="168">
        <v>0</v>
      </c>
      <c r="K150" s="45"/>
      <c r="L150" s="522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9.5" x14ac:dyDescent="0.3">
      <c r="A151" s="128"/>
      <c r="B151" s="199"/>
      <c r="C151" s="199"/>
      <c r="D151" s="169"/>
      <c r="E151" s="198" t="s">
        <v>64</v>
      </c>
      <c r="F151" s="199"/>
      <c r="G151" s="42"/>
      <c r="H151" s="137" t="s">
        <v>35</v>
      </c>
      <c r="I151" s="152">
        <f ca="1">IFERROR(__xludf.DUMMYFUNCTION("IMPORTRANGE(""https://docs.google.com/spreadsheets/d/1eHaY18a8A9IcSdp1K8H6x8fbOy06t2VsZHhMHf-1x7Y/edit?usp=sharing"",""แผน!U82"")"),20)</f>
        <v>20</v>
      </c>
      <c r="J151" s="168">
        <v>0</v>
      </c>
      <c r="K151" s="46">
        <f t="shared" ref="K151:K155" ca="1" si="102">IF(I151&gt;0,J151*100/I151,0)</f>
        <v>0</v>
      </c>
      <c r="L151" s="522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8.75" x14ac:dyDescent="0.25">
      <c r="A152" s="128"/>
      <c r="B152" s="199"/>
      <c r="C152" s="199"/>
      <c r="D152" s="169"/>
      <c r="E152" s="199"/>
      <c r="F152" s="199"/>
      <c r="G152" s="42"/>
      <c r="H152" s="137" t="s">
        <v>54</v>
      </c>
      <c r="I152" s="152">
        <f ca="1">IFERROR(__xludf.DUMMYFUNCTION("IMPORTRANGE(""https://docs.google.com/spreadsheets/d/1eHaY18a8A9IcSdp1K8H6x8fbOy06t2VsZHhMHf-1x7Y/edit?usp=sharing"",""แผน!V82"")"),2)</f>
        <v>2</v>
      </c>
      <c r="J152" s="168">
        <v>0</v>
      </c>
      <c r="K152" s="46">
        <f t="shared" ca="1" si="102"/>
        <v>0</v>
      </c>
      <c r="L152" s="522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9.5" x14ac:dyDescent="0.3">
      <c r="A153" s="128"/>
      <c r="B153" s="199"/>
      <c r="C153" s="199"/>
      <c r="D153" s="169"/>
      <c r="E153" s="198" t="s">
        <v>65</v>
      </c>
      <c r="F153" s="199"/>
      <c r="G153" s="42"/>
      <c r="H153" s="137" t="s">
        <v>35</v>
      </c>
      <c r="I153" s="152">
        <f ca="1">IFERROR(__xludf.DUMMYFUNCTION("IMPORTRANGE(""https://docs.google.com/spreadsheets/d/1eHaY18a8A9IcSdp1K8H6x8fbOy06t2VsZHhMHf-1x7Y/edit?usp=sharing"",""แผน!W82"")"),60)</f>
        <v>60</v>
      </c>
      <c r="J153" s="168">
        <v>0</v>
      </c>
      <c r="K153" s="46">
        <f t="shared" ca="1" si="102"/>
        <v>0</v>
      </c>
      <c r="L153" s="522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199"/>
      <c r="C154" s="199"/>
      <c r="D154" s="199"/>
      <c r="E154" s="199"/>
      <c r="F154" s="199"/>
      <c r="G154" s="42"/>
      <c r="H154" s="137" t="s">
        <v>54</v>
      </c>
      <c r="I154" s="152">
        <f ca="1">IFERROR(__xludf.DUMMYFUNCTION("IMPORTRANGE(""https://docs.google.com/spreadsheets/d/1eHaY18a8A9IcSdp1K8H6x8fbOy06t2VsZHhMHf-1x7Y/edit?usp=sharing"",""แผน!X82"")"),6)</f>
        <v>6</v>
      </c>
      <c r="J154" s="168">
        <v>0</v>
      </c>
      <c r="K154" s="46">
        <f t="shared" ca="1" si="102"/>
        <v>0</v>
      </c>
      <c r="L154" s="522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8.75" x14ac:dyDescent="0.25">
      <c r="A155" s="128"/>
      <c r="B155" s="199"/>
      <c r="C155" s="199"/>
      <c r="D155" s="270" t="s">
        <v>66</v>
      </c>
      <c r="E155" s="199"/>
      <c r="F155" s="199"/>
      <c r="G155" s="42"/>
      <c r="H155" s="137" t="s">
        <v>61</v>
      </c>
      <c r="I155" s="152">
        <f ca="1">IFERROR(__xludf.DUMMYFUNCTION("IMPORTRANGE(""https://docs.google.com/spreadsheets/d/1eHaY18a8A9IcSdp1K8H6x8fbOy06t2VsZHhMHf-1x7Y/edit?usp=sharing"",""แผน!Y82"")"),2)</f>
        <v>2</v>
      </c>
      <c r="J155" s="168">
        <v>0</v>
      </c>
      <c r="K155" s="46">
        <f t="shared" ca="1" si="102"/>
        <v>0</v>
      </c>
      <c r="L155" s="522"/>
      <c r="M155" s="45"/>
      <c r="N155" s="45"/>
      <c r="O155" s="45"/>
      <c r="P155" s="45"/>
      <c r="Q155" s="45"/>
      <c r="R155" s="45"/>
      <c r="S155" s="45"/>
      <c r="T155" s="45"/>
      <c r="U155" s="45"/>
    </row>
    <row r="156" spans="1:21" ht="19.5" hidden="1" x14ac:dyDescent="0.3">
      <c r="A156" s="117" t="s">
        <v>67</v>
      </c>
      <c r="B156" s="118"/>
      <c r="C156" s="181"/>
      <c r="D156" s="118"/>
      <c r="E156" s="118"/>
      <c r="F156" s="118"/>
      <c r="G156" s="118"/>
      <c r="H156" s="118"/>
      <c r="I156" s="182"/>
      <c r="J156" s="182"/>
      <c r="K156" s="18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7"/>
      <c r="D157" s="27"/>
      <c r="E157" s="27"/>
      <c r="F157" s="27"/>
      <c r="G157" s="30"/>
      <c r="H157" s="186" t="s">
        <v>35</v>
      </c>
      <c r="I157" s="127">
        <f t="shared" ref="I157:J157" ca="1" si="103">I170</f>
        <v>0</v>
      </c>
      <c r="J157" s="127">
        <f t="shared" si="103"/>
        <v>0</v>
      </c>
      <c r="K157" s="34">
        <f ca="1">IF(I157&gt;0,J157*100/I157,0)</f>
        <v>0</v>
      </c>
      <c r="L157" s="54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 ht="19.5" hidden="1" x14ac:dyDescent="0.3">
      <c r="A158" s="128"/>
      <c r="B158" s="199"/>
      <c r="C158" s="198" t="s">
        <v>18</v>
      </c>
      <c r="D158" s="544" t="s">
        <v>19</v>
      </c>
      <c r="E158" s="199"/>
      <c r="F158" s="199"/>
      <c r="G158" s="42"/>
      <c r="H158" s="131" t="s">
        <v>14</v>
      </c>
      <c r="I158" s="44"/>
      <c r="J158" s="44"/>
      <c r="K158" s="45"/>
      <c r="L158" s="545">
        <f t="shared" ref="L158:N158" ca="1" si="104">L159+L160</f>
        <v>0</v>
      </c>
      <c r="M158" s="132">
        <f t="shared" ca="1" si="104"/>
        <v>0</v>
      </c>
      <c r="N158" s="132">
        <f t="shared" ca="1" si="104"/>
        <v>0</v>
      </c>
      <c r="O158" s="132">
        <f t="shared" ref="O158:O166" ca="1" si="105">IF(L158&gt;0,N158*100/L158,0)</f>
        <v>0</v>
      </c>
      <c r="P158" s="132">
        <f t="shared" ref="P158:P166" ca="1" si="106">IF(M158&gt;0,N158*100/M158,0)</f>
        <v>0</v>
      </c>
      <c r="Q158" s="132">
        <f t="shared" ref="Q158:S158" ca="1" si="107">Q159+Q160</f>
        <v>0</v>
      </c>
      <c r="R158" s="132">
        <f t="shared" ca="1" si="107"/>
        <v>0</v>
      </c>
      <c r="S158" s="132">
        <f t="shared" ca="1" si="107"/>
        <v>0</v>
      </c>
      <c r="T158" s="132">
        <f t="shared" ref="T158:T166" ca="1" si="108">IF(Q158&gt;0,S158*100/Q158,0)</f>
        <v>0</v>
      </c>
      <c r="U158" s="132">
        <f t="shared" ref="U158:U166" ca="1" si="109">IF(R158&gt;0,S158*100/R158,0)</f>
        <v>0</v>
      </c>
    </row>
    <row r="159" spans="1:21" ht="18.75" hidden="1" x14ac:dyDescent="0.25">
      <c r="A159" s="128"/>
      <c r="B159" s="199"/>
      <c r="C159" s="199"/>
      <c r="D159" s="199"/>
      <c r="E159" s="157" t="s">
        <v>20</v>
      </c>
      <c r="F159" s="199"/>
      <c r="G159" s="42"/>
      <c r="H159" s="158" t="s">
        <v>14</v>
      </c>
      <c r="I159" s="44"/>
      <c r="J159" s="44"/>
      <c r="K159" s="45"/>
      <c r="L159" s="521">
        <f t="shared" ref="L159:N160" si="110">L162+L165</f>
        <v>0</v>
      </c>
      <c r="M159" s="48">
        <f t="shared" si="110"/>
        <v>0</v>
      </c>
      <c r="N159" s="48">
        <f t="shared" si="110"/>
        <v>0</v>
      </c>
      <c r="O159" s="48">
        <f t="shared" si="105"/>
        <v>0</v>
      </c>
      <c r="P159" s="48">
        <f t="shared" si="106"/>
        <v>0</v>
      </c>
      <c r="Q159" s="48">
        <f t="shared" ref="Q159:S160" si="111">Q162+Q165</f>
        <v>0</v>
      </c>
      <c r="R159" s="48">
        <f t="shared" si="111"/>
        <v>0</v>
      </c>
      <c r="S159" s="48">
        <f t="shared" si="111"/>
        <v>0</v>
      </c>
      <c r="T159" s="48">
        <f t="shared" si="108"/>
        <v>0</v>
      </c>
      <c r="U159" s="48">
        <f t="shared" si="109"/>
        <v>0</v>
      </c>
    </row>
    <row r="160" spans="1:21" ht="18.75" hidden="1" x14ac:dyDescent="0.25">
      <c r="A160" s="128"/>
      <c r="B160" s="199"/>
      <c r="C160" s="199"/>
      <c r="D160" s="199"/>
      <c r="E160" s="270" t="s">
        <v>21</v>
      </c>
      <c r="F160" s="199"/>
      <c r="G160" s="42"/>
      <c r="H160" s="133" t="s">
        <v>14</v>
      </c>
      <c r="I160" s="44"/>
      <c r="J160" s="44"/>
      <c r="K160" s="45"/>
      <c r="L160" s="519">
        <f t="shared" ca="1" si="110"/>
        <v>0</v>
      </c>
      <c r="M160" s="46">
        <f t="shared" ca="1" si="110"/>
        <v>0</v>
      </c>
      <c r="N160" s="46">
        <f t="shared" ca="1" si="110"/>
        <v>0</v>
      </c>
      <c r="O160" s="46">
        <f t="shared" ca="1" si="105"/>
        <v>0</v>
      </c>
      <c r="P160" s="46">
        <f t="shared" ca="1" si="106"/>
        <v>0</v>
      </c>
      <c r="Q160" s="46">
        <f t="shared" ca="1" si="111"/>
        <v>0</v>
      </c>
      <c r="R160" s="46">
        <f t="shared" ca="1" si="111"/>
        <v>0</v>
      </c>
      <c r="S160" s="46">
        <f t="shared" ca="1" si="111"/>
        <v>0</v>
      </c>
      <c r="T160" s="46">
        <f t="shared" ca="1" si="108"/>
        <v>0</v>
      </c>
      <c r="U160" s="46">
        <f t="shared" ca="1" si="109"/>
        <v>0</v>
      </c>
    </row>
    <row r="161" spans="1:21" ht="18.75" hidden="1" x14ac:dyDescent="0.25">
      <c r="A161" s="128"/>
      <c r="B161" s="199"/>
      <c r="C161" s="199"/>
      <c r="D161" s="41" t="s">
        <v>22</v>
      </c>
      <c r="E161" s="199"/>
      <c r="F161" s="199"/>
      <c r="G161" s="42"/>
      <c r="H161" s="134" t="s">
        <v>14</v>
      </c>
      <c r="I161" s="135"/>
      <c r="J161" s="135"/>
      <c r="K161" s="136"/>
      <c r="L161" s="519">
        <f t="shared" ref="L161:N161" ca="1" si="112">L162+L163</f>
        <v>0</v>
      </c>
      <c r="M161" s="46">
        <f t="shared" ca="1" si="112"/>
        <v>0</v>
      </c>
      <c r="N161" s="46">
        <f t="shared" ca="1" si="112"/>
        <v>0</v>
      </c>
      <c r="O161" s="46">
        <f t="shared" ca="1" si="105"/>
        <v>0</v>
      </c>
      <c r="P161" s="46">
        <f t="shared" ca="1" si="106"/>
        <v>0</v>
      </c>
      <c r="Q161" s="46">
        <f t="shared" ref="Q161:S161" ca="1" si="113">Q162+Q163</f>
        <v>0</v>
      </c>
      <c r="R161" s="46">
        <f t="shared" ca="1" si="113"/>
        <v>0</v>
      </c>
      <c r="S161" s="46">
        <f t="shared" ca="1" si="113"/>
        <v>0</v>
      </c>
      <c r="T161" s="46">
        <f t="shared" ca="1" si="108"/>
        <v>0</v>
      </c>
      <c r="U161" s="46">
        <f t="shared" ca="1" si="109"/>
        <v>0</v>
      </c>
    </row>
    <row r="162" spans="1:21" ht="18.75" hidden="1" x14ac:dyDescent="0.25">
      <c r="A162" s="128"/>
      <c r="B162" s="199"/>
      <c r="C162" s="199"/>
      <c r="D162" s="199"/>
      <c r="E162" s="157" t="s">
        <v>36</v>
      </c>
      <c r="F162" s="199"/>
      <c r="G162" s="42"/>
      <c r="H162" s="160" t="s">
        <v>14</v>
      </c>
      <c r="I162" s="135"/>
      <c r="J162" s="135"/>
      <c r="K162" s="136"/>
      <c r="L162" s="521">
        <v>0</v>
      </c>
      <c r="M162" s="48">
        <v>0</v>
      </c>
      <c r="N162" s="48">
        <v>0</v>
      </c>
      <c r="O162" s="48">
        <f t="shared" si="105"/>
        <v>0</v>
      </c>
      <c r="P162" s="48">
        <f t="shared" si="106"/>
        <v>0</v>
      </c>
      <c r="Q162" s="48">
        <v>0</v>
      </c>
      <c r="R162" s="48">
        <v>0</v>
      </c>
      <c r="S162" s="48">
        <v>0</v>
      </c>
      <c r="T162" s="48">
        <f t="shared" si="108"/>
        <v>0</v>
      </c>
      <c r="U162" s="48">
        <f t="shared" si="109"/>
        <v>0</v>
      </c>
    </row>
    <row r="163" spans="1:21" ht="18.75" hidden="1" x14ac:dyDescent="0.25">
      <c r="A163" s="128"/>
      <c r="B163" s="199"/>
      <c r="C163" s="199"/>
      <c r="D163" s="199"/>
      <c r="E163" s="270" t="s">
        <v>37</v>
      </c>
      <c r="F163" s="199"/>
      <c r="G163" s="42"/>
      <c r="H163" s="134" t="s">
        <v>14</v>
      </c>
      <c r="I163" s="135"/>
      <c r="J163" s="135"/>
      <c r="K163" s="136"/>
      <c r="L163" s="519">
        <f ca="1">IFERROR(__xludf.DUMMYFUNCTION("IMPORTRANGE(""https://docs.google.com/spreadsheets/d/1-uDff_7J0KD5mKrp0Vvzr7lt3OU09vwQwhkpOPPYv2Y/edit?usp=sharing"",""งบพรบ!CA82"")"),0)</f>
        <v>0</v>
      </c>
      <c r="M163" s="46">
        <f ca="1">IFERROR(__xludf.DUMMYFUNCTION("IMPORTRANGE(""https://docs.google.com/spreadsheets/d/1-uDff_7J0KD5mKrp0Vvzr7lt3OU09vwQwhkpOPPYv2Y/edit?usp=sharing"",""งบพรบ!CF82"")"),0)</f>
        <v>0</v>
      </c>
      <c r="N163" s="46">
        <f ca="1">IFERROR(__xludf.DUMMYFUNCTION("IMPORTRANGE(""https://docs.google.com/spreadsheets/d/1-uDff_7J0KD5mKrp0Vvzr7lt3OU09vwQwhkpOPPYv2Y/edit?usp=sharing"",""งบพรบ!CH82"")"),0)</f>
        <v>0</v>
      </c>
      <c r="O163" s="46">
        <f t="shared" ca="1" si="105"/>
        <v>0</v>
      </c>
      <c r="P163" s="46">
        <f t="shared" ca="1" si="106"/>
        <v>0</v>
      </c>
      <c r="Q163" s="46">
        <f ca="1">IFERROR(__xludf.DUMMYFUNCTION("IMPORTRANGE(""https://docs.google.com/spreadsheets/d/1ItG2mGa2ceCfYo0BwxsXqNm01IGEUdYcSSLTEv9YCik/edit?usp=sharing"",""เบิกจ่ายกองทุน!AG82"")"),0)</f>
        <v>0</v>
      </c>
      <c r="R163" s="46">
        <f ca="1">IFERROR(__xludf.DUMMYFUNCTION("IMPORTRANGE(""https://docs.google.com/spreadsheets/d/1ItG2mGa2ceCfYo0BwxsXqNm01IGEUdYcSSLTEv9YCik/edit?usp=sharing"",""เบิกจ่ายกองทุน!AH82"")"),0)</f>
        <v>0</v>
      </c>
      <c r="S163" s="46">
        <f ca="1">IFERROR(__xludf.DUMMYFUNCTION("IMPORTRANGE(""https://docs.google.com/spreadsheets/d/1ItG2mGa2ceCfYo0BwxsXqNm01IGEUdYcSSLTEv9YCik/edit?usp=sharing"",""เบิกจ่ายกองทุน!AI82"")"),0)</f>
        <v>0</v>
      </c>
      <c r="T163" s="46">
        <f t="shared" ca="1" si="108"/>
        <v>0</v>
      </c>
      <c r="U163" s="46">
        <f t="shared" ca="1" si="109"/>
        <v>0</v>
      </c>
    </row>
    <row r="164" spans="1:21" ht="18.75" hidden="1" x14ac:dyDescent="0.25">
      <c r="A164" s="128"/>
      <c r="B164" s="199"/>
      <c r="C164" s="199"/>
      <c r="D164" s="41" t="s">
        <v>23</v>
      </c>
      <c r="E164" s="199"/>
      <c r="F164" s="199"/>
      <c r="G164" s="42"/>
      <c r="H164" s="137" t="s">
        <v>14</v>
      </c>
      <c r="I164" s="135"/>
      <c r="J164" s="135"/>
      <c r="K164" s="136"/>
      <c r="L164" s="519">
        <f t="shared" ref="L164:N164" ca="1" si="114">L165+L166</f>
        <v>0</v>
      </c>
      <c r="M164" s="46">
        <f t="shared" ca="1" si="114"/>
        <v>0</v>
      </c>
      <c r="N164" s="46">
        <f t="shared" ca="1" si="114"/>
        <v>0</v>
      </c>
      <c r="O164" s="46">
        <f t="shared" ca="1" si="105"/>
        <v>0</v>
      </c>
      <c r="P164" s="46">
        <f t="shared" ca="1" si="106"/>
        <v>0</v>
      </c>
      <c r="Q164" s="46">
        <f t="shared" ref="Q164:S164" si="115">Q165+Q166</f>
        <v>0</v>
      </c>
      <c r="R164" s="46">
        <f t="shared" si="115"/>
        <v>0</v>
      </c>
      <c r="S164" s="46">
        <f t="shared" si="115"/>
        <v>0</v>
      </c>
      <c r="T164" s="46">
        <f t="shared" si="108"/>
        <v>0</v>
      </c>
      <c r="U164" s="46">
        <f t="shared" si="109"/>
        <v>0</v>
      </c>
    </row>
    <row r="165" spans="1:21" ht="18.75" hidden="1" x14ac:dyDescent="0.25">
      <c r="A165" s="128"/>
      <c r="B165" s="199"/>
      <c r="C165" s="199"/>
      <c r="D165" s="199"/>
      <c r="E165" s="157" t="s">
        <v>20</v>
      </c>
      <c r="F165" s="199"/>
      <c r="G165" s="42"/>
      <c r="H165" s="160" t="s">
        <v>14</v>
      </c>
      <c r="I165" s="135"/>
      <c r="J165" s="135"/>
      <c r="K165" s="136"/>
      <c r="L165" s="521">
        <v>0</v>
      </c>
      <c r="M165" s="48">
        <v>0</v>
      </c>
      <c r="N165" s="48">
        <v>0</v>
      </c>
      <c r="O165" s="48">
        <f t="shared" si="105"/>
        <v>0</v>
      </c>
      <c r="P165" s="48">
        <f t="shared" si="106"/>
        <v>0</v>
      </c>
      <c r="Q165" s="48">
        <v>0</v>
      </c>
      <c r="R165" s="48">
        <v>0</v>
      </c>
      <c r="S165" s="48">
        <v>0</v>
      </c>
      <c r="T165" s="48">
        <f t="shared" si="108"/>
        <v>0</v>
      </c>
      <c r="U165" s="48">
        <f t="shared" si="109"/>
        <v>0</v>
      </c>
    </row>
    <row r="166" spans="1:21" ht="18.75" hidden="1" x14ac:dyDescent="0.25">
      <c r="A166" s="128"/>
      <c r="B166" s="199"/>
      <c r="C166" s="199"/>
      <c r="D166" s="199"/>
      <c r="E166" s="270" t="s">
        <v>21</v>
      </c>
      <c r="F166" s="199"/>
      <c r="G166" s="42"/>
      <c r="H166" s="137" t="s">
        <v>14</v>
      </c>
      <c r="I166" s="135"/>
      <c r="J166" s="135"/>
      <c r="K166" s="136"/>
      <c r="L166" s="519">
        <f ca="1">IFERROR(__xludf.DUMMYFUNCTION("IMPORTRANGE(""https://docs.google.com/spreadsheets/d/1-uDff_7J0KD5mKrp0Vvzr7lt3OU09vwQwhkpOPPYv2Y/edit?usp=sharing"",""งบพรบ!CD82"")"),0)</f>
        <v>0</v>
      </c>
      <c r="M166" s="46">
        <f ca="1">IFERROR(__xludf.DUMMYFUNCTION("IMPORTRANGE(""https://docs.google.com/spreadsheets/d/1-uDff_7J0KD5mKrp0Vvzr7lt3OU09vwQwhkpOPPYv2Y/edit?usp=sharing"",""งบพรบ!CG82"")"),0)</f>
        <v>0</v>
      </c>
      <c r="N166" s="46">
        <f ca="1">IFERROR(__xludf.DUMMYFUNCTION("IMPORTRANGE(""https://docs.google.com/spreadsheets/d/1-uDff_7J0KD5mKrp0Vvzr7lt3OU09vwQwhkpOPPYv2Y/edit?usp=sharing"",""งบพรบ!CI82"")"),0)</f>
        <v>0</v>
      </c>
      <c r="O166" s="46">
        <f t="shared" ca="1" si="105"/>
        <v>0</v>
      </c>
      <c r="P166" s="46">
        <f t="shared" ca="1" si="106"/>
        <v>0</v>
      </c>
      <c r="Q166" s="46">
        <v>0</v>
      </c>
      <c r="R166" s="46">
        <v>0</v>
      </c>
      <c r="S166" s="46">
        <v>0</v>
      </c>
      <c r="T166" s="46">
        <f t="shared" si="108"/>
        <v>0</v>
      </c>
      <c r="U166" s="46">
        <f t="shared" si="109"/>
        <v>0</v>
      </c>
    </row>
    <row r="167" spans="1:21" ht="19.5" hidden="1" x14ac:dyDescent="0.3">
      <c r="A167" s="138"/>
      <c r="B167" s="139"/>
      <c r="C167" s="198" t="s">
        <v>18</v>
      </c>
      <c r="D167" s="546" t="s">
        <v>38</v>
      </c>
      <c r="E167" s="141"/>
      <c r="F167" s="141"/>
      <c r="G167" s="142"/>
      <c r="H167" s="191"/>
      <c r="I167" s="44"/>
      <c r="J167" s="44"/>
      <c r="K167" s="45"/>
      <c r="L167" s="522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199"/>
      <c r="C168" s="199"/>
      <c r="D168" s="270" t="s">
        <v>69</v>
      </c>
      <c r="E168" s="199"/>
      <c r="F168" s="199"/>
      <c r="G168" s="42"/>
      <c r="H168" s="137" t="s">
        <v>35</v>
      </c>
      <c r="I168" s="152">
        <f ca="1">IFERROR(__xludf.DUMMYFUNCTION("IMPORTRANGE(""https://docs.google.com/spreadsheets/d/1eHaY18a8A9IcSdp1K8H6x8fbOy06t2VsZHhMHf-1x7Y/edit?usp=sharing"",""แผน!Z82"")"),0)</f>
        <v>0</v>
      </c>
      <c r="J168" s="168">
        <v>0</v>
      </c>
      <c r="K168" s="46">
        <f t="shared" ref="K168:K170" ca="1" si="116">IF(I168&gt;0,J168*100/I168,0)</f>
        <v>0</v>
      </c>
      <c r="L168" s="522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28"/>
      <c r="B169" s="199"/>
      <c r="C169" s="199"/>
      <c r="D169" s="157" t="s">
        <v>70</v>
      </c>
      <c r="E169" s="199"/>
      <c r="F169" s="199"/>
      <c r="G169" s="42"/>
      <c r="H169" s="401" t="s">
        <v>35</v>
      </c>
      <c r="I169" s="340">
        <f ca="1">IFERROR(__xludf.DUMMYFUNCTION("IMPORTRANGE(""https://docs.google.com/spreadsheets/d/1eHaY18a8A9IcSdp1K8H6x8fbOy06t2VsZHhMHf-1x7Y/edit?usp=sharing"",""แผน!Z82"")"),0)</f>
        <v>0</v>
      </c>
      <c r="J169" s="555">
        <v>0</v>
      </c>
      <c r="K169" s="48">
        <f t="shared" ca="1" si="116"/>
        <v>0</v>
      </c>
      <c r="L169" s="522"/>
      <c r="M169" s="45"/>
      <c r="N169" s="45"/>
      <c r="O169" s="45"/>
      <c r="P169" s="45"/>
      <c r="Q169" s="45"/>
      <c r="R169" s="45"/>
      <c r="S169" s="45"/>
      <c r="T169" s="45"/>
      <c r="U169" s="45"/>
    </row>
    <row r="170" spans="1:21" ht="18.75" hidden="1" x14ac:dyDescent="0.25">
      <c r="A170" s="201"/>
      <c r="B170" s="2"/>
      <c r="C170" s="2"/>
      <c r="D170" s="457" t="s">
        <v>71</v>
      </c>
      <c r="E170" s="2"/>
      <c r="F170" s="2"/>
      <c r="G170" s="52"/>
      <c r="H170" s="556" t="s">
        <v>35</v>
      </c>
      <c r="I170" s="459">
        <f ca="1">IFERROR(__xludf.DUMMYFUNCTION("IMPORTRANGE(""https://docs.google.com/spreadsheets/d/1eHaY18a8A9IcSdp1K8H6x8fbOy06t2VsZHhMHf-1x7Y/edit?usp=sharing"",""แผน!Z82"")"),0)</f>
        <v>0</v>
      </c>
      <c r="J170" s="557">
        <v>0</v>
      </c>
      <c r="K170" s="558">
        <f t="shared" ca="1" si="116"/>
        <v>0</v>
      </c>
      <c r="L170" s="523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.5" x14ac:dyDescent="0.3">
      <c r="A171" s="205" t="s">
        <v>72</v>
      </c>
      <c r="B171" s="206"/>
      <c r="C171" s="206"/>
      <c r="D171" s="206"/>
      <c r="E171" s="207"/>
      <c r="F171" s="207"/>
      <c r="G171" s="207"/>
      <c r="H171" s="207"/>
      <c r="I171" s="208"/>
      <c r="J171" s="208"/>
      <c r="K171" s="209"/>
      <c r="L171" s="209"/>
      <c r="M171" s="209"/>
      <c r="N171" s="209"/>
      <c r="O171" s="209"/>
      <c r="P171" s="210"/>
      <c r="Q171" s="209"/>
      <c r="R171" s="209"/>
      <c r="S171" s="209"/>
      <c r="T171" s="209"/>
      <c r="U171" s="210"/>
    </row>
    <row r="172" spans="1:21" ht="19.5" hidden="1" x14ac:dyDescent="0.3">
      <c r="A172" s="211" t="s">
        <v>73</v>
      </c>
      <c r="B172" s="212"/>
      <c r="C172" s="212"/>
      <c r="D172" s="213"/>
      <c r="E172" s="213"/>
      <c r="F172" s="213"/>
      <c r="G172" s="213"/>
      <c r="H172" s="214"/>
      <c r="I172" s="215"/>
      <c r="J172" s="215"/>
      <c r="K172" s="216"/>
      <c r="L172" s="55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217"/>
      <c r="B173" s="327" t="s">
        <v>74</v>
      </c>
      <c r="C173" s="219"/>
      <c r="D173" s="141"/>
      <c r="E173" s="141"/>
      <c r="F173" s="141"/>
      <c r="G173" s="142"/>
      <c r="H173" s="220" t="s">
        <v>35</v>
      </c>
      <c r="I173" s="221">
        <f t="shared" ref="I173:J173" ca="1" si="117">I184+I185</f>
        <v>0</v>
      </c>
      <c r="J173" s="221">
        <f t="shared" si="117"/>
        <v>0</v>
      </c>
      <c r="K173" s="222">
        <f ca="1">IF(I173&gt;0,J173*100/I173,0)</f>
        <v>0</v>
      </c>
      <c r="L173" s="560"/>
      <c r="M173" s="223"/>
      <c r="N173" s="223"/>
      <c r="O173" s="223"/>
      <c r="P173" s="223"/>
      <c r="Q173" s="223"/>
      <c r="R173" s="223"/>
      <c r="S173" s="223"/>
      <c r="T173" s="223"/>
      <c r="U173" s="223"/>
    </row>
    <row r="174" spans="1:21" ht="19.5" hidden="1" x14ac:dyDescent="0.3">
      <c r="A174" s="128"/>
      <c r="B174" s="199"/>
      <c r="C174" s="198" t="s">
        <v>18</v>
      </c>
      <c r="D174" s="544" t="s">
        <v>19</v>
      </c>
      <c r="E174" s="199"/>
      <c r="F174" s="199"/>
      <c r="G174" s="42"/>
      <c r="H174" s="131" t="s">
        <v>14</v>
      </c>
      <c r="I174" s="44"/>
      <c r="J174" s="44"/>
      <c r="K174" s="45"/>
      <c r="L174" s="545">
        <f t="shared" ref="L174:N174" ca="1" si="118">L175+L176</f>
        <v>0</v>
      </c>
      <c r="M174" s="132">
        <f t="shared" ca="1" si="118"/>
        <v>0</v>
      </c>
      <c r="N174" s="132">
        <f t="shared" ca="1" si="118"/>
        <v>0</v>
      </c>
      <c r="O174" s="132">
        <f t="shared" ref="O174:O182" ca="1" si="119">IF(L174&gt;0,N174*100/L174,0)</f>
        <v>0</v>
      </c>
      <c r="P174" s="132">
        <f t="shared" ref="P174:P182" ca="1" si="120">IF(M174&gt;0,N174*100/M174,0)</f>
        <v>0</v>
      </c>
      <c r="Q174" s="132">
        <f t="shared" ref="Q174:S174" ca="1" si="121">Q175+Q176</f>
        <v>0</v>
      </c>
      <c r="R174" s="132">
        <f t="shared" ca="1" si="121"/>
        <v>0</v>
      </c>
      <c r="S174" s="132">
        <f t="shared" ca="1" si="121"/>
        <v>0</v>
      </c>
      <c r="T174" s="132">
        <f t="shared" ref="T174:T182" ca="1" si="122">IF(Q174&gt;0,S174*100/Q174,0)</f>
        <v>0</v>
      </c>
      <c r="U174" s="132">
        <f t="shared" ref="U174:U182" ca="1" si="123">IF(R174&gt;0,S174*100/R174,0)</f>
        <v>0</v>
      </c>
    </row>
    <row r="175" spans="1:21" ht="18.75" hidden="1" x14ac:dyDescent="0.25">
      <c r="A175" s="128"/>
      <c r="B175" s="199"/>
      <c r="C175" s="199"/>
      <c r="D175" s="199"/>
      <c r="E175" s="157" t="s">
        <v>20</v>
      </c>
      <c r="F175" s="199"/>
      <c r="G175" s="42"/>
      <c r="H175" s="158" t="s">
        <v>14</v>
      </c>
      <c r="I175" s="44"/>
      <c r="J175" s="44"/>
      <c r="K175" s="45"/>
      <c r="L175" s="521">
        <f t="shared" ref="L175:N176" si="124">L178+L181</f>
        <v>0</v>
      </c>
      <c r="M175" s="48">
        <f t="shared" si="124"/>
        <v>0</v>
      </c>
      <c r="N175" s="48">
        <f t="shared" si="124"/>
        <v>0</v>
      </c>
      <c r="O175" s="48">
        <f t="shared" si="119"/>
        <v>0</v>
      </c>
      <c r="P175" s="48">
        <f t="shared" si="120"/>
        <v>0</v>
      </c>
      <c r="Q175" s="48">
        <f t="shared" ref="Q175:S176" si="125">Q178+Q181</f>
        <v>0</v>
      </c>
      <c r="R175" s="48">
        <f t="shared" si="125"/>
        <v>0</v>
      </c>
      <c r="S175" s="48">
        <f t="shared" si="125"/>
        <v>0</v>
      </c>
      <c r="T175" s="48">
        <f t="shared" si="122"/>
        <v>0</v>
      </c>
      <c r="U175" s="48">
        <f t="shared" si="123"/>
        <v>0</v>
      </c>
    </row>
    <row r="176" spans="1:21" ht="18.75" hidden="1" x14ac:dyDescent="0.25">
      <c r="A176" s="128"/>
      <c r="B176" s="199"/>
      <c r="C176" s="199"/>
      <c r="D176" s="199"/>
      <c r="E176" s="270" t="s">
        <v>21</v>
      </c>
      <c r="F176" s="199"/>
      <c r="G176" s="42"/>
      <c r="H176" s="133" t="s">
        <v>14</v>
      </c>
      <c r="I176" s="44"/>
      <c r="J176" s="44"/>
      <c r="K176" s="45"/>
      <c r="L176" s="519">
        <f t="shared" ca="1" si="124"/>
        <v>0</v>
      </c>
      <c r="M176" s="46">
        <f t="shared" ca="1" si="124"/>
        <v>0</v>
      </c>
      <c r="N176" s="46">
        <f t="shared" ca="1" si="124"/>
        <v>0</v>
      </c>
      <c r="O176" s="46">
        <f t="shared" ca="1" si="119"/>
        <v>0</v>
      </c>
      <c r="P176" s="46">
        <f t="shared" ca="1" si="120"/>
        <v>0</v>
      </c>
      <c r="Q176" s="46">
        <f t="shared" ca="1" si="125"/>
        <v>0</v>
      </c>
      <c r="R176" s="46">
        <f t="shared" ca="1" si="125"/>
        <v>0</v>
      </c>
      <c r="S176" s="46">
        <f t="shared" ca="1" si="125"/>
        <v>0</v>
      </c>
      <c r="T176" s="46">
        <f t="shared" ca="1" si="122"/>
        <v>0</v>
      </c>
      <c r="U176" s="46">
        <f t="shared" ca="1" si="123"/>
        <v>0</v>
      </c>
    </row>
    <row r="177" spans="1:21" ht="18.75" hidden="1" x14ac:dyDescent="0.25">
      <c r="A177" s="128"/>
      <c r="B177" s="199"/>
      <c r="C177" s="199"/>
      <c r="D177" s="41" t="s">
        <v>22</v>
      </c>
      <c r="E177" s="199"/>
      <c r="F177" s="199"/>
      <c r="G177" s="42"/>
      <c r="H177" s="134" t="s">
        <v>14</v>
      </c>
      <c r="I177" s="135"/>
      <c r="J177" s="135"/>
      <c r="K177" s="136"/>
      <c r="L177" s="519">
        <f t="shared" ref="L177:N177" ca="1" si="126">L178+L179</f>
        <v>0</v>
      </c>
      <c r="M177" s="46">
        <f t="shared" ca="1" si="126"/>
        <v>0</v>
      </c>
      <c r="N177" s="46">
        <f t="shared" ca="1" si="126"/>
        <v>0</v>
      </c>
      <c r="O177" s="46">
        <f t="shared" ca="1" si="119"/>
        <v>0</v>
      </c>
      <c r="P177" s="46">
        <f t="shared" ca="1" si="120"/>
        <v>0</v>
      </c>
      <c r="Q177" s="46">
        <f t="shared" ref="Q177:S177" ca="1" si="127">Q178+Q179</f>
        <v>0</v>
      </c>
      <c r="R177" s="46">
        <f t="shared" ca="1" si="127"/>
        <v>0</v>
      </c>
      <c r="S177" s="46">
        <f t="shared" ca="1" si="127"/>
        <v>0</v>
      </c>
      <c r="T177" s="46">
        <f t="shared" ca="1" si="122"/>
        <v>0</v>
      </c>
      <c r="U177" s="46">
        <f t="shared" ca="1" si="123"/>
        <v>0</v>
      </c>
    </row>
    <row r="178" spans="1:21" ht="18.75" hidden="1" x14ac:dyDescent="0.25">
      <c r="A178" s="128"/>
      <c r="B178" s="199"/>
      <c r="C178" s="199"/>
      <c r="D178" s="199"/>
      <c r="E178" s="157" t="s">
        <v>36</v>
      </c>
      <c r="F178" s="199"/>
      <c r="G178" s="42"/>
      <c r="H178" s="160" t="s">
        <v>14</v>
      </c>
      <c r="I178" s="135"/>
      <c r="J178" s="135"/>
      <c r="K178" s="136"/>
      <c r="L178" s="521">
        <v>0</v>
      </c>
      <c r="M178" s="48">
        <v>0</v>
      </c>
      <c r="N178" s="48">
        <v>0</v>
      </c>
      <c r="O178" s="48">
        <f t="shared" si="119"/>
        <v>0</v>
      </c>
      <c r="P178" s="48">
        <f t="shared" si="120"/>
        <v>0</v>
      </c>
      <c r="Q178" s="48">
        <v>0</v>
      </c>
      <c r="R178" s="48">
        <v>0</v>
      </c>
      <c r="S178" s="48">
        <v>0</v>
      </c>
      <c r="T178" s="48">
        <f t="shared" si="122"/>
        <v>0</v>
      </c>
      <c r="U178" s="48">
        <f t="shared" si="123"/>
        <v>0</v>
      </c>
    </row>
    <row r="179" spans="1:21" ht="18.75" hidden="1" x14ac:dyDescent="0.25">
      <c r="A179" s="128"/>
      <c r="B179" s="199"/>
      <c r="C179" s="199"/>
      <c r="D179" s="199"/>
      <c r="E179" s="270" t="s">
        <v>37</v>
      </c>
      <c r="F179" s="199"/>
      <c r="G179" s="42"/>
      <c r="H179" s="134" t="s">
        <v>14</v>
      </c>
      <c r="I179" s="135"/>
      <c r="J179" s="135"/>
      <c r="K179" s="136"/>
      <c r="L179" s="519">
        <f ca="1">IFERROR(__xludf.DUMMYFUNCTION("IMPORTRANGE(""https://docs.google.com/spreadsheets/d/1-uDff_7J0KD5mKrp0Vvzr7lt3OU09vwQwhkpOPPYv2Y/edit?usp=sharing"",""งบพรบ!CK82"")"),0)</f>
        <v>0</v>
      </c>
      <c r="M179" s="46">
        <f ca="1">IFERROR(__xludf.DUMMYFUNCTION("IMPORTRANGE(""https://docs.google.com/spreadsheets/d/1-uDff_7J0KD5mKrp0Vvzr7lt3OU09vwQwhkpOPPYv2Y/edit?usp=sharing"",""งบพรบ!CP82"")"),0)</f>
        <v>0</v>
      </c>
      <c r="N179" s="46">
        <f ca="1">IFERROR(__xludf.DUMMYFUNCTION("IMPORTRANGE(""https://docs.google.com/spreadsheets/d/1-uDff_7J0KD5mKrp0Vvzr7lt3OU09vwQwhkpOPPYv2Y/edit?usp=sharing"",""งบพรบ!CR82"")"),0)</f>
        <v>0</v>
      </c>
      <c r="O179" s="46">
        <f t="shared" ca="1" si="119"/>
        <v>0</v>
      </c>
      <c r="P179" s="46">
        <f t="shared" ca="1" si="120"/>
        <v>0</v>
      </c>
      <c r="Q179" s="46">
        <f ca="1">IFERROR(__xludf.DUMMYFUNCTION("IMPORTRANGE(""https://docs.google.com/spreadsheets/d/1ItG2mGa2ceCfYo0BwxsXqNm01IGEUdYcSSLTEv9YCik/edit?usp=sharing"",""เบิกจ่ายกองทุน!BE82"")"),0)</f>
        <v>0</v>
      </c>
      <c r="R179" s="46">
        <f ca="1">IFERROR(__xludf.DUMMYFUNCTION("IMPORTRANGE(""https://docs.google.com/spreadsheets/d/1ItG2mGa2ceCfYo0BwxsXqNm01IGEUdYcSSLTEv9YCik/edit?usp=sharing"",""เบิกจ่ายกองทุน!BF82"")"),0)</f>
        <v>0</v>
      </c>
      <c r="S179" s="46">
        <f ca="1">IFERROR(__xludf.DUMMYFUNCTION("IMPORTRANGE(""https://docs.google.com/spreadsheets/d/1ItG2mGa2ceCfYo0BwxsXqNm01IGEUdYcSSLTEv9YCik/edit?usp=sharing"",""เบิกจ่ายกองทุน!BG82"")"),0)</f>
        <v>0</v>
      </c>
      <c r="T179" s="46">
        <f t="shared" ca="1" si="122"/>
        <v>0</v>
      </c>
      <c r="U179" s="46">
        <f t="shared" ca="1" si="123"/>
        <v>0</v>
      </c>
    </row>
    <row r="180" spans="1:21" ht="18.75" hidden="1" x14ac:dyDescent="0.25">
      <c r="A180" s="128"/>
      <c r="B180" s="199"/>
      <c r="C180" s="199"/>
      <c r="D180" s="41" t="s">
        <v>23</v>
      </c>
      <c r="E180" s="199"/>
      <c r="F180" s="199"/>
      <c r="G180" s="42"/>
      <c r="H180" s="137" t="s">
        <v>14</v>
      </c>
      <c r="I180" s="135"/>
      <c r="J180" s="135"/>
      <c r="K180" s="136"/>
      <c r="L180" s="519">
        <f t="shared" ref="L180:N180" ca="1" si="128">L181+L182</f>
        <v>0</v>
      </c>
      <c r="M180" s="46">
        <f t="shared" ca="1" si="128"/>
        <v>0</v>
      </c>
      <c r="N180" s="46">
        <f t="shared" ca="1" si="128"/>
        <v>0</v>
      </c>
      <c r="O180" s="46">
        <f t="shared" ca="1" si="119"/>
        <v>0</v>
      </c>
      <c r="P180" s="46">
        <f t="shared" ca="1" si="120"/>
        <v>0</v>
      </c>
      <c r="Q180" s="46">
        <f t="shared" ref="Q180:S180" si="129">Q181+Q182</f>
        <v>0</v>
      </c>
      <c r="R180" s="46">
        <f t="shared" si="129"/>
        <v>0</v>
      </c>
      <c r="S180" s="46">
        <f t="shared" si="129"/>
        <v>0</v>
      </c>
      <c r="T180" s="46">
        <f t="shared" si="122"/>
        <v>0</v>
      </c>
      <c r="U180" s="46">
        <f t="shared" si="123"/>
        <v>0</v>
      </c>
    </row>
    <row r="181" spans="1:21" ht="18.75" hidden="1" x14ac:dyDescent="0.25">
      <c r="A181" s="128"/>
      <c r="B181" s="199"/>
      <c r="C181" s="199"/>
      <c r="D181" s="199"/>
      <c r="E181" s="157" t="s">
        <v>20</v>
      </c>
      <c r="F181" s="199"/>
      <c r="G181" s="42"/>
      <c r="H181" s="160" t="s">
        <v>14</v>
      </c>
      <c r="I181" s="135"/>
      <c r="J181" s="135"/>
      <c r="K181" s="136"/>
      <c r="L181" s="521">
        <v>0</v>
      </c>
      <c r="M181" s="48">
        <v>0</v>
      </c>
      <c r="N181" s="48">
        <v>0</v>
      </c>
      <c r="O181" s="48">
        <f t="shared" si="119"/>
        <v>0</v>
      </c>
      <c r="P181" s="48">
        <f t="shared" si="120"/>
        <v>0</v>
      </c>
      <c r="Q181" s="48">
        <v>0</v>
      </c>
      <c r="R181" s="48">
        <v>0</v>
      </c>
      <c r="S181" s="48">
        <v>0</v>
      </c>
      <c r="T181" s="48">
        <f t="shared" si="122"/>
        <v>0</v>
      </c>
      <c r="U181" s="48">
        <f t="shared" si="123"/>
        <v>0</v>
      </c>
    </row>
    <row r="182" spans="1:21" ht="18.75" hidden="1" x14ac:dyDescent="0.25">
      <c r="A182" s="128"/>
      <c r="B182" s="199"/>
      <c r="C182" s="199"/>
      <c r="D182" s="199"/>
      <c r="E182" s="270" t="s">
        <v>21</v>
      </c>
      <c r="F182" s="199"/>
      <c r="G182" s="42"/>
      <c r="H182" s="137" t="s">
        <v>14</v>
      </c>
      <c r="I182" s="135"/>
      <c r="J182" s="135"/>
      <c r="K182" s="136"/>
      <c r="L182" s="519">
        <f ca="1">IFERROR(__xludf.DUMMYFUNCTION("IMPORTRANGE(""https://docs.google.com/spreadsheets/d/1-uDff_7J0KD5mKrp0Vvzr7lt3OU09vwQwhkpOPPYv2Y/edit?usp=sharing"",""งบพรบ!CN82"")"),0)</f>
        <v>0</v>
      </c>
      <c r="M182" s="46">
        <f ca="1">IFERROR(__xludf.DUMMYFUNCTION("IMPORTRANGE(""https://docs.google.com/spreadsheets/d/1-uDff_7J0KD5mKrp0Vvzr7lt3OU09vwQwhkpOPPYv2Y/edit?usp=sharing"",""งบพรบ!CQ82"")"),0)</f>
        <v>0</v>
      </c>
      <c r="N182" s="46">
        <f ca="1">IFERROR(__xludf.DUMMYFUNCTION("IMPORTRANGE(""https://docs.google.com/spreadsheets/d/1-uDff_7J0KD5mKrp0Vvzr7lt3OU09vwQwhkpOPPYv2Y/edit?usp=sharing"",""งบพรบ!CS82"")"),0)</f>
        <v>0</v>
      </c>
      <c r="O182" s="46">
        <f t="shared" ca="1" si="119"/>
        <v>0</v>
      </c>
      <c r="P182" s="46">
        <f t="shared" ca="1" si="120"/>
        <v>0</v>
      </c>
      <c r="Q182" s="46">
        <v>0</v>
      </c>
      <c r="R182" s="46">
        <v>0</v>
      </c>
      <c r="S182" s="46">
        <v>0</v>
      </c>
      <c r="T182" s="46">
        <f t="shared" si="122"/>
        <v>0</v>
      </c>
      <c r="U182" s="46">
        <f t="shared" si="123"/>
        <v>0</v>
      </c>
    </row>
    <row r="183" spans="1:21" ht="19.5" hidden="1" x14ac:dyDescent="0.3">
      <c r="A183" s="138"/>
      <c r="B183" s="139"/>
      <c r="C183" s="198" t="s">
        <v>18</v>
      </c>
      <c r="D183" s="546" t="s">
        <v>38</v>
      </c>
      <c r="E183" s="141"/>
      <c r="F183" s="141"/>
      <c r="G183" s="142"/>
      <c r="H183" s="191"/>
      <c r="I183" s="44"/>
      <c r="J183" s="44"/>
      <c r="K183" s="45"/>
      <c r="L183" s="522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24"/>
      <c r="B184" s="199"/>
      <c r="C184" s="159"/>
      <c r="D184" s="440" t="s">
        <v>75</v>
      </c>
      <c r="E184" s="199"/>
      <c r="F184" s="199"/>
      <c r="G184" s="42"/>
      <c r="H184" s="226" t="s">
        <v>35</v>
      </c>
      <c r="I184" s="152">
        <f ca="1">IFERROR(__xludf.DUMMYFUNCTION("IMPORTRANGE(""https://docs.google.com/spreadsheets/d/1eHaY18a8A9IcSdp1K8H6x8fbOy06t2VsZHhMHf-1x7Y/edit?usp=sharing"",""แผน!AA82"")"),0)</f>
        <v>0</v>
      </c>
      <c r="J184" s="168">
        <v>0</v>
      </c>
      <c r="K184" s="46">
        <f t="shared" ref="K184:K186" ca="1" si="130">IF(I184&gt;0,J184*100/I184,0)</f>
        <v>0</v>
      </c>
      <c r="L184" s="522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8.75" hidden="1" x14ac:dyDescent="0.25">
      <c r="A185" s="224"/>
      <c r="B185" s="159"/>
      <c r="C185" s="159"/>
      <c r="D185" s="455" t="s">
        <v>76</v>
      </c>
      <c r="E185" s="199"/>
      <c r="F185" s="199"/>
      <c r="G185" s="42"/>
      <c r="H185" s="561" t="s">
        <v>35</v>
      </c>
      <c r="I185" s="340">
        <v>0</v>
      </c>
      <c r="J185" s="340">
        <v>0</v>
      </c>
      <c r="K185" s="48">
        <f t="shared" si="130"/>
        <v>0</v>
      </c>
      <c r="L185" s="522"/>
      <c r="M185" s="45"/>
      <c r="N185" s="45"/>
      <c r="O185" s="45"/>
      <c r="P185" s="45"/>
      <c r="Q185" s="45"/>
      <c r="R185" s="45"/>
      <c r="S185" s="45"/>
      <c r="T185" s="45"/>
      <c r="U185" s="45"/>
    </row>
    <row r="186" spans="1:21" ht="19.5" x14ac:dyDescent="0.3">
      <c r="A186" s="217"/>
      <c r="B186" s="327" t="s">
        <v>77</v>
      </c>
      <c r="C186" s="219"/>
      <c r="D186" s="141"/>
      <c r="E186" s="141"/>
      <c r="F186" s="141"/>
      <c r="G186" s="142"/>
      <c r="H186" s="220" t="s">
        <v>35</v>
      </c>
      <c r="I186" s="221">
        <f t="shared" ref="I186:J186" ca="1" si="131">I231+I232</f>
        <v>0</v>
      </c>
      <c r="J186" s="221">
        <f t="shared" si="131"/>
        <v>0</v>
      </c>
      <c r="K186" s="222">
        <f t="shared" ca="1" si="130"/>
        <v>0</v>
      </c>
      <c r="L186" s="560"/>
      <c r="M186" s="223"/>
      <c r="N186" s="223"/>
      <c r="O186" s="223"/>
      <c r="P186" s="223"/>
      <c r="Q186" s="223"/>
      <c r="R186" s="223"/>
      <c r="S186" s="223"/>
      <c r="T186" s="223"/>
      <c r="U186" s="223"/>
    </row>
    <row r="187" spans="1:21" ht="19.5" x14ac:dyDescent="0.3">
      <c r="A187" s="128"/>
      <c r="B187" s="199"/>
      <c r="C187" s="198" t="s">
        <v>18</v>
      </c>
      <c r="D187" s="544" t="s">
        <v>19</v>
      </c>
      <c r="E187" s="199"/>
      <c r="F187" s="199"/>
      <c r="G187" s="42"/>
      <c r="H187" s="131" t="s">
        <v>14</v>
      </c>
      <c r="I187" s="44"/>
      <c r="J187" s="44"/>
      <c r="K187" s="45"/>
      <c r="L187" s="545">
        <f t="shared" ref="L187:N187" ca="1" si="132">L188+L189</f>
        <v>23500</v>
      </c>
      <c r="M187" s="132">
        <f t="shared" ca="1" si="132"/>
        <v>15500</v>
      </c>
      <c r="N187" s="132">
        <f t="shared" ca="1" si="132"/>
        <v>0</v>
      </c>
      <c r="O187" s="132">
        <f t="shared" ref="O187:O195" ca="1" si="133">IF(L187&gt;0,N187*100/L187,0)</f>
        <v>0</v>
      </c>
      <c r="P187" s="132">
        <f t="shared" ref="P187:P195" ca="1" si="134">IF(M187&gt;0,N187*100/M187,0)</f>
        <v>0</v>
      </c>
      <c r="Q187" s="132">
        <f t="shared" ref="Q187:S187" ca="1" si="135">Q188+Q189</f>
        <v>28000</v>
      </c>
      <c r="R187" s="132">
        <f t="shared" ca="1" si="135"/>
        <v>28000</v>
      </c>
      <c r="S187" s="132">
        <f t="shared" ca="1" si="135"/>
        <v>0</v>
      </c>
      <c r="T187" s="132">
        <f t="shared" ref="T187:T195" ca="1" si="136">IF(Q187&gt;0,S187*100/Q187,0)</f>
        <v>0</v>
      </c>
      <c r="U187" s="132">
        <f t="shared" ref="U187:U195" ca="1" si="137">IF(R187&gt;0,S187*100/R187,0)</f>
        <v>0</v>
      </c>
    </row>
    <row r="188" spans="1:21" ht="18.75" hidden="1" x14ac:dyDescent="0.25">
      <c r="A188" s="128"/>
      <c r="B188" s="199"/>
      <c r="C188" s="199"/>
      <c r="D188" s="199"/>
      <c r="E188" s="157" t="s">
        <v>20</v>
      </c>
      <c r="F188" s="199"/>
      <c r="G188" s="42"/>
      <c r="H188" s="158" t="s">
        <v>14</v>
      </c>
      <c r="I188" s="44"/>
      <c r="J188" s="44"/>
      <c r="K188" s="45"/>
      <c r="L188" s="521">
        <f t="shared" ref="L188:N189" si="138">L191+L194</f>
        <v>0</v>
      </c>
      <c r="M188" s="48">
        <f t="shared" si="138"/>
        <v>0</v>
      </c>
      <c r="N188" s="48">
        <f t="shared" si="138"/>
        <v>0</v>
      </c>
      <c r="O188" s="48">
        <f t="shared" si="133"/>
        <v>0</v>
      </c>
      <c r="P188" s="48">
        <f t="shared" si="134"/>
        <v>0</v>
      </c>
      <c r="Q188" s="48">
        <f t="shared" ref="Q188:S189" si="139">Q191+Q194</f>
        <v>0</v>
      </c>
      <c r="R188" s="48">
        <f t="shared" si="139"/>
        <v>0</v>
      </c>
      <c r="S188" s="48">
        <f t="shared" si="139"/>
        <v>0</v>
      </c>
      <c r="T188" s="48">
        <f t="shared" si="136"/>
        <v>0</v>
      </c>
      <c r="U188" s="48">
        <f t="shared" si="137"/>
        <v>0</v>
      </c>
    </row>
    <row r="189" spans="1:21" ht="18.75" hidden="1" x14ac:dyDescent="0.25">
      <c r="A189" s="128"/>
      <c r="B189" s="199"/>
      <c r="C189" s="199"/>
      <c r="D189" s="199"/>
      <c r="E189" s="270" t="s">
        <v>21</v>
      </c>
      <c r="F189" s="199"/>
      <c r="G189" s="42"/>
      <c r="H189" s="133" t="s">
        <v>14</v>
      </c>
      <c r="I189" s="44"/>
      <c r="J189" s="44"/>
      <c r="K189" s="45"/>
      <c r="L189" s="519">
        <f t="shared" ca="1" si="138"/>
        <v>23500</v>
      </c>
      <c r="M189" s="46">
        <f t="shared" ca="1" si="138"/>
        <v>15500</v>
      </c>
      <c r="N189" s="46">
        <f t="shared" ca="1" si="138"/>
        <v>0</v>
      </c>
      <c r="O189" s="46">
        <f t="shared" ca="1" si="133"/>
        <v>0</v>
      </c>
      <c r="P189" s="46">
        <f t="shared" ca="1" si="134"/>
        <v>0</v>
      </c>
      <c r="Q189" s="46">
        <f t="shared" ca="1" si="139"/>
        <v>28000</v>
      </c>
      <c r="R189" s="46">
        <f t="shared" ca="1" si="139"/>
        <v>28000</v>
      </c>
      <c r="S189" s="46">
        <f t="shared" ca="1" si="139"/>
        <v>0</v>
      </c>
      <c r="T189" s="46">
        <f t="shared" ca="1" si="136"/>
        <v>0</v>
      </c>
      <c r="U189" s="46">
        <f t="shared" ca="1" si="137"/>
        <v>0</v>
      </c>
    </row>
    <row r="190" spans="1:21" ht="18.75" x14ac:dyDescent="0.25">
      <c r="A190" s="128"/>
      <c r="B190" s="199"/>
      <c r="C190" s="199"/>
      <c r="D190" s="41" t="s">
        <v>22</v>
      </c>
      <c r="E190" s="199"/>
      <c r="F190" s="199"/>
      <c r="G190" s="42"/>
      <c r="H190" s="134" t="s">
        <v>14</v>
      </c>
      <c r="I190" s="135"/>
      <c r="J190" s="135"/>
      <c r="K190" s="136"/>
      <c r="L190" s="519">
        <f t="shared" ref="L190:N190" ca="1" si="140">L191+L192</f>
        <v>23500</v>
      </c>
      <c r="M190" s="46">
        <f t="shared" ca="1" si="140"/>
        <v>15500</v>
      </c>
      <c r="N190" s="46">
        <f t="shared" ca="1" si="140"/>
        <v>0</v>
      </c>
      <c r="O190" s="46">
        <f t="shared" ca="1" si="133"/>
        <v>0</v>
      </c>
      <c r="P190" s="46">
        <f t="shared" ca="1" si="134"/>
        <v>0</v>
      </c>
      <c r="Q190" s="46">
        <f t="shared" ref="Q190:S190" ca="1" si="141">Q191+Q192</f>
        <v>28000</v>
      </c>
      <c r="R190" s="46">
        <f t="shared" ca="1" si="141"/>
        <v>28000</v>
      </c>
      <c r="S190" s="46">
        <f t="shared" ca="1" si="141"/>
        <v>0</v>
      </c>
      <c r="T190" s="46">
        <f t="shared" ca="1" si="136"/>
        <v>0</v>
      </c>
      <c r="U190" s="46">
        <f t="shared" ca="1" si="137"/>
        <v>0</v>
      </c>
    </row>
    <row r="191" spans="1:21" ht="18.75" hidden="1" x14ac:dyDescent="0.25">
      <c r="A191" s="128"/>
      <c r="B191" s="199"/>
      <c r="C191" s="199"/>
      <c r="D191" s="199"/>
      <c r="E191" s="157" t="s">
        <v>36</v>
      </c>
      <c r="F191" s="199"/>
      <c r="G191" s="42"/>
      <c r="H191" s="160" t="s">
        <v>14</v>
      </c>
      <c r="I191" s="135"/>
      <c r="J191" s="135"/>
      <c r="K191" s="136"/>
      <c r="L191" s="521">
        <v>0</v>
      </c>
      <c r="M191" s="48">
        <v>0</v>
      </c>
      <c r="N191" s="48">
        <v>0</v>
      </c>
      <c r="O191" s="48">
        <f t="shared" si="133"/>
        <v>0</v>
      </c>
      <c r="P191" s="48">
        <f t="shared" si="134"/>
        <v>0</v>
      </c>
      <c r="Q191" s="48">
        <v>0</v>
      </c>
      <c r="R191" s="48">
        <v>0</v>
      </c>
      <c r="S191" s="48">
        <v>0</v>
      </c>
      <c r="T191" s="48">
        <f t="shared" si="136"/>
        <v>0</v>
      </c>
      <c r="U191" s="48">
        <f t="shared" si="137"/>
        <v>0</v>
      </c>
    </row>
    <row r="192" spans="1:21" ht="18.75" hidden="1" x14ac:dyDescent="0.25">
      <c r="A192" s="128"/>
      <c r="B192" s="199"/>
      <c r="C192" s="199"/>
      <c r="D192" s="199"/>
      <c r="E192" s="270" t="s">
        <v>37</v>
      </c>
      <c r="F192" s="199"/>
      <c r="G192" s="42"/>
      <c r="H192" s="134" t="s">
        <v>14</v>
      </c>
      <c r="I192" s="135"/>
      <c r="J192" s="135"/>
      <c r="K192" s="136"/>
      <c r="L192" s="519">
        <f ca="1">IFERROR(__xludf.DUMMYFUNCTION("IMPORTRANGE(""https://docs.google.com/spreadsheets/d/1-uDff_7J0KD5mKrp0Vvzr7lt3OU09vwQwhkpOPPYv2Y/edit?usp=sharing"",""งบพรบ!CU82"")"),23500)</f>
        <v>23500</v>
      </c>
      <c r="M192" s="46">
        <f ca="1">IFERROR(__xludf.DUMMYFUNCTION("IMPORTRANGE(""https://docs.google.com/spreadsheets/d/1-uDff_7J0KD5mKrp0Vvzr7lt3OU09vwQwhkpOPPYv2Y/edit?usp=sharing"",""งบพรบ!CZ82"")"),15500)</f>
        <v>15500</v>
      </c>
      <c r="N192" s="46">
        <f ca="1">IFERROR(__xludf.DUMMYFUNCTION("IMPORTRANGE(""https://docs.google.com/spreadsheets/d/1-uDff_7J0KD5mKrp0Vvzr7lt3OU09vwQwhkpOPPYv2Y/edit?usp=sharing"",""งบพรบ!DB82"")"),0)</f>
        <v>0</v>
      </c>
      <c r="O192" s="46">
        <f t="shared" ca="1" si="133"/>
        <v>0</v>
      </c>
      <c r="P192" s="46">
        <f t="shared" ca="1" si="134"/>
        <v>0</v>
      </c>
      <c r="Q192" s="46">
        <f ca="1">IFERROR(__xludf.DUMMYFUNCTION("IMPORTRANGE(""https://docs.google.com/spreadsheets/d/1ItG2mGa2ceCfYo0BwxsXqNm01IGEUdYcSSLTEv9YCik/edit?usp=sharing"",""เบิกจ่ายกองทุน!AV82"")"),28000)</f>
        <v>28000</v>
      </c>
      <c r="R192" s="46">
        <f ca="1">IFERROR(__xludf.DUMMYFUNCTION("IMPORTRANGE(""https://docs.google.com/spreadsheets/d/1ItG2mGa2ceCfYo0BwxsXqNm01IGEUdYcSSLTEv9YCik/edit?usp=sharing"",""เบิกจ่ายกองทุน!AW82"")"),28000)</f>
        <v>28000</v>
      </c>
      <c r="S192" s="46">
        <f ca="1">IFERROR(__xludf.DUMMYFUNCTION("IMPORTRANGE(""https://docs.google.com/spreadsheets/d/1ItG2mGa2ceCfYo0BwxsXqNm01IGEUdYcSSLTEv9YCik/edit?usp=sharing"",""เบิกจ่ายกองทุน!AX82"")"),0)</f>
        <v>0</v>
      </c>
      <c r="T192" s="46">
        <f t="shared" ca="1" si="136"/>
        <v>0</v>
      </c>
      <c r="U192" s="46">
        <f t="shared" ca="1" si="137"/>
        <v>0</v>
      </c>
    </row>
    <row r="193" spans="1:21" ht="18.75" x14ac:dyDescent="0.25">
      <c r="A193" s="128"/>
      <c r="B193" s="199"/>
      <c r="C193" s="199"/>
      <c r="D193" s="41" t="s">
        <v>23</v>
      </c>
      <c r="E193" s="199"/>
      <c r="F193" s="199"/>
      <c r="G193" s="42"/>
      <c r="H193" s="137" t="s">
        <v>14</v>
      </c>
      <c r="I193" s="135"/>
      <c r="J193" s="135"/>
      <c r="K193" s="136"/>
      <c r="L193" s="519">
        <f t="shared" ref="L193:N193" ca="1" si="142">L194+L195</f>
        <v>0</v>
      </c>
      <c r="M193" s="46">
        <f t="shared" ca="1" si="142"/>
        <v>0</v>
      </c>
      <c r="N193" s="46">
        <f t="shared" ca="1" si="142"/>
        <v>0</v>
      </c>
      <c r="O193" s="46">
        <f t="shared" ca="1" si="133"/>
        <v>0</v>
      </c>
      <c r="P193" s="46">
        <f t="shared" ca="1" si="134"/>
        <v>0</v>
      </c>
      <c r="Q193" s="46">
        <f t="shared" ref="Q193:S193" si="143">Q194+Q195</f>
        <v>0</v>
      </c>
      <c r="R193" s="46">
        <f t="shared" si="143"/>
        <v>0</v>
      </c>
      <c r="S193" s="46">
        <f t="shared" si="143"/>
        <v>0</v>
      </c>
      <c r="T193" s="46">
        <f t="shared" si="136"/>
        <v>0</v>
      </c>
      <c r="U193" s="46">
        <f t="shared" si="137"/>
        <v>0</v>
      </c>
    </row>
    <row r="194" spans="1:21" ht="18.75" hidden="1" x14ac:dyDescent="0.25">
      <c r="A194" s="128"/>
      <c r="B194" s="199"/>
      <c r="C194" s="199"/>
      <c r="D194" s="199"/>
      <c r="E194" s="157" t="s">
        <v>20</v>
      </c>
      <c r="F194" s="199"/>
      <c r="G194" s="42"/>
      <c r="H194" s="160" t="s">
        <v>14</v>
      </c>
      <c r="I194" s="135"/>
      <c r="J194" s="135"/>
      <c r="K194" s="136"/>
      <c r="L194" s="521">
        <v>0</v>
      </c>
      <c r="M194" s="48">
        <v>0</v>
      </c>
      <c r="N194" s="48">
        <v>0</v>
      </c>
      <c r="O194" s="48">
        <f t="shared" si="133"/>
        <v>0</v>
      </c>
      <c r="P194" s="48">
        <f t="shared" si="134"/>
        <v>0</v>
      </c>
      <c r="Q194" s="48">
        <v>0</v>
      </c>
      <c r="R194" s="48">
        <v>0</v>
      </c>
      <c r="S194" s="48">
        <v>0</v>
      </c>
      <c r="T194" s="48">
        <f t="shared" si="136"/>
        <v>0</v>
      </c>
      <c r="U194" s="48">
        <f t="shared" si="137"/>
        <v>0</v>
      </c>
    </row>
    <row r="195" spans="1:21" ht="18.75" hidden="1" x14ac:dyDescent="0.25">
      <c r="A195" s="128"/>
      <c r="B195" s="199"/>
      <c r="C195" s="199"/>
      <c r="D195" s="199"/>
      <c r="E195" s="270" t="s">
        <v>21</v>
      </c>
      <c r="F195" s="199"/>
      <c r="G195" s="42"/>
      <c r="H195" s="137" t="s">
        <v>14</v>
      </c>
      <c r="I195" s="135"/>
      <c r="J195" s="135"/>
      <c r="K195" s="136"/>
      <c r="L195" s="519">
        <f ca="1">IFERROR(__xludf.DUMMYFUNCTION("IMPORTRANGE(""https://docs.google.com/spreadsheets/d/1-uDff_7J0KD5mKrp0Vvzr7lt3OU09vwQwhkpOPPYv2Y/edit?usp=sharing"",""งบพรบ!CX82"")"),0)</f>
        <v>0</v>
      </c>
      <c r="M195" s="46">
        <f ca="1">IFERROR(__xludf.DUMMYFUNCTION("IMPORTRANGE(""https://docs.google.com/spreadsheets/d/1-uDff_7J0KD5mKrp0Vvzr7lt3OU09vwQwhkpOPPYv2Y/edit?usp=sharing"",""งบพรบ!DA82"")"),0)</f>
        <v>0</v>
      </c>
      <c r="N195" s="46">
        <f ca="1">IFERROR(__xludf.DUMMYFUNCTION("IMPORTRANGE(""https://docs.google.com/spreadsheets/d/1-uDff_7J0KD5mKrp0Vvzr7lt3OU09vwQwhkpOPPYv2Y/edit?usp=sharing"",""งบพรบ!DC82"")"),0)</f>
        <v>0</v>
      </c>
      <c r="O195" s="46">
        <f t="shared" ca="1" si="133"/>
        <v>0</v>
      </c>
      <c r="P195" s="46">
        <f t="shared" ca="1" si="134"/>
        <v>0</v>
      </c>
      <c r="Q195" s="46">
        <v>0</v>
      </c>
      <c r="R195" s="46">
        <v>0</v>
      </c>
      <c r="S195" s="46">
        <v>0</v>
      </c>
      <c r="T195" s="46">
        <f t="shared" si="136"/>
        <v>0</v>
      </c>
      <c r="U195" s="46">
        <f t="shared" si="137"/>
        <v>0</v>
      </c>
    </row>
    <row r="196" spans="1:21" ht="19.5" x14ac:dyDescent="0.3">
      <c r="A196" s="229"/>
      <c r="B196" s="230"/>
      <c r="C196" s="231" t="s">
        <v>78</v>
      </c>
      <c r="D196" s="232"/>
      <c r="E196" s="232"/>
      <c r="F196" s="232"/>
      <c r="G196" s="233"/>
      <c r="H196" s="234" t="s">
        <v>79</v>
      </c>
      <c r="I196" s="235">
        <f t="shared" ref="I196:J196" ca="1" si="144">I199</f>
        <v>4</v>
      </c>
      <c r="J196" s="235">
        <f t="shared" si="144"/>
        <v>0</v>
      </c>
      <c r="K196" s="236">
        <f ca="1">IF(I196&gt;0,J196*100/I196,0)</f>
        <v>0</v>
      </c>
      <c r="L196" s="562"/>
      <c r="M196" s="237"/>
      <c r="N196" s="237"/>
      <c r="O196" s="237"/>
      <c r="P196" s="237"/>
      <c r="Q196" s="237"/>
      <c r="R196" s="237"/>
      <c r="S196" s="237"/>
      <c r="T196" s="237"/>
      <c r="U196" s="237"/>
    </row>
    <row r="197" spans="1:21" ht="19.5" x14ac:dyDescent="0.3">
      <c r="A197" s="128"/>
      <c r="B197" s="199"/>
      <c r="C197" s="198" t="s">
        <v>18</v>
      </c>
      <c r="D197" s="563" t="s">
        <v>19</v>
      </c>
      <c r="E197" s="199"/>
      <c r="F197" s="199"/>
      <c r="G197" s="42"/>
      <c r="H197" s="239" t="s">
        <v>14</v>
      </c>
      <c r="I197" s="44"/>
      <c r="J197" s="44"/>
      <c r="K197" s="45"/>
      <c r="L197" s="545">
        <f ca="1">IFERROR(__xludf.DUMMYFUNCTION("IMPORTRANGE(""https://docs.google.com/spreadsheets/d/1eHaY18a8A9IcSdp1K8H6x8fbOy06t2VsZHhMHf-1x7Y/edit?usp=sharing"",""แผน!AB82"")"),6000)</f>
        <v>6000</v>
      </c>
      <c r="M197" s="45"/>
      <c r="N197" s="564">
        <v>0</v>
      </c>
      <c r="O197" s="132">
        <f ca="1">IF(L197&gt;0,N197*100/L197,0)</f>
        <v>0</v>
      </c>
      <c r="P197" s="132">
        <f>IF(M197&gt;0,N197*100/M197,0)</f>
        <v>0</v>
      </c>
      <c r="Q197" s="45"/>
      <c r="R197" s="45"/>
      <c r="S197" s="45"/>
      <c r="T197" s="45"/>
      <c r="U197" s="45"/>
    </row>
    <row r="198" spans="1:21" ht="19.5" x14ac:dyDescent="0.3">
      <c r="A198" s="138"/>
      <c r="B198" s="139"/>
      <c r="C198" s="198" t="s">
        <v>18</v>
      </c>
      <c r="D198" s="546" t="s">
        <v>38</v>
      </c>
      <c r="E198" s="141"/>
      <c r="F198" s="141"/>
      <c r="G198" s="142"/>
      <c r="H198" s="143"/>
      <c r="I198" s="44"/>
      <c r="J198" s="44"/>
      <c r="K198" s="45"/>
      <c r="L198" s="522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67" t="s">
        <v>80</v>
      </c>
      <c r="E199" s="169"/>
      <c r="F199" s="169"/>
      <c r="G199" s="143"/>
      <c r="H199" s="247" t="s">
        <v>79</v>
      </c>
      <c r="I199" s="152">
        <f ca="1">IFERROR(__xludf.DUMMYFUNCTION("IMPORTRANGE(""https://docs.google.com/spreadsheets/d/1eHaY18a8A9IcSdp1K8H6x8fbOy06t2VsZHhMHf-1x7Y/edit?usp=sharing"",""แผน!AE82"")"),4)</f>
        <v>4</v>
      </c>
      <c r="J199" s="168">
        <v>0</v>
      </c>
      <c r="K199" s="46">
        <f ca="1">IF(I199&gt;0,J199*100/I199,0)</f>
        <v>0</v>
      </c>
      <c r="L199" s="522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67" t="s">
        <v>81</v>
      </c>
      <c r="E200" s="169"/>
      <c r="F200" s="169"/>
      <c r="G200" s="143"/>
      <c r="H200" s="226" t="s">
        <v>35</v>
      </c>
      <c r="I200" s="44"/>
      <c r="J200" s="152">
        <f>J201+J202</f>
        <v>0</v>
      </c>
      <c r="K200" s="45"/>
      <c r="L200" s="522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67" t="s">
        <v>82</v>
      </c>
      <c r="F201" s="169"/>
      <c r="G201" s="143"/>
      <c r="H201" s="226" t="s">
        <v>35</v>
      </c>
      <c r="I201" s="44"/>
      <c r="J201" s="168">
        <v>0</v>
      </c>
      <c r="K201" s="45"/>
      <c r="L201" s="522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8.75" x14ac:dyDescent="0.25">
      <c r="A202" s="138"/>
      <c r="B202" s="139"/>
      <c r="C202" s="139"/>
      <c r="D202" s="139"/>
      <c r="E202" s="167" t="s">
        <v>83</v>
      </c>
      <c r="F202" s="169"/>
      <c r="G202" s="143"/>
      <c r="H202" s="226" t="s">
        <v>35</v>
      </c>
      <c r="I202" s="44"/>
      <c r="J202" s="168">
        <v>0</v>
      </c>
      <c r="K202" s="45"/>
      <c r="L202" s="522"/>
      <c r="M202" s="45"/>
      <c r="N202" s="45"/>
      <c r="O202" s="45"/>
      <c r="P202" s="45"/>
      <c r="Q202" s="45"/>
      <c r="R202" s="45"/>
      <c r="S202" s="45"/>
      <c r="T202" s="45"/>
      <c r="U202" s="45"/>
    </row>
    <row r="203" spans="1:21" ht="19.5" x14ac:dyDescent="0.3">
      <c r="A203" s="229"/>
      <c r="B203" s="230"/>
      <c r="C203" s="231" t="s">
        <v>84</v>
      </c>
      <c r="D203" s="232"/>
      <c r="E203" s="232"/>
      <c r="F203" s="232"/>
      <c r="G203" s="233"/>
      <c r="H203" s="332" t="s">
        <v>85</v>
      </c>
      <c r="I203" s="235">
        <f t="shared" ref="I203:J203" ca="1" si="145">I210</f>
        <v>2</v>
      </c>
      <c r="J203" s="235">
        <f t="shared" si="145"/>
        <v>0</v>
      </c>
      <c r="K203" s="236">
        <f ca="1">IF(I203&gt;0,J203*100/I203,0)</f>
        <v>0</v>
      </c>
      <c r="L203" s="562"/>
      <c r="M203" s="237"/>
      <c r="N203" s="237"/>
      <c r="O203" s="237"/>
      <c r="P203" s="237"/>
      <c r="Q203" s="237"/>
      <c r="R203" s="237"/>
      <c r="S203" s="237"/>
      <c r="T203" s="237"/>
      <c r="U203" s="237"/>
    </row>
    <row r="204" spans="1:21" ht="19.5" x14ac:dyDescent="0.3">
      <c r="A204" s="128"/>
      <c r="B204" s="199"/>
      <c r="C204" s="198" t="s">
        <v>18</v>
      </c>
      <c r="D204" s="563" t="s">
        <v>19</v>
      </c>
      <c r="E204" s="199"/>
      <c r="F204" s="199"/>
      <c r="G204" s="42"/>
      <c r="H204" s="239" t="s">
        <v>14</v>
      </c>
      <c r="I204" s="135"/>
      <c r="J204" s="135"/>
      <c r="K204" s="136"/>
      <c r="L204" s="545">
        <f ca="1">L205+L206+L207+L208</f>
        <v>5000</v>
      </c>
      <c r="M204" s="45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5"/>
      <c r="R204" s="45"/>
      <c r="S204" s="45"/>
      <c r="T204" s="45"/>
      <c r="U204" s="45"/>
    </row>
    <row r="205" spans="1:21" ht="18.75" x14ac:dyDescent="0.25">
      <c r="A205" s="128"/>
      <c r="B205" s="159"/>
      <c r="C205" s="199"/>
      <c r="D205" s="565" t="s">
        <v>299</v>
      </c>
      <c r="E205" s="199"/>
      <c r="F205" s="199"/>
      <c r="G205" s="42"/>
      <c r="H205" s="134" t="s">
        <v>14</v>
      </c>
      <c r="I205" s="135"/>
      <c r="J205" s="135"/>
      <c r="K205" s="136"/>
      <c r="L205" s="519">
        <f ca="1">IFERROR(__xludf.DUMMYFUNCTION("IMPORTRANGE(""https://docs.google.com/spreadsheets/d/1eHaY18a8A9IcSdp1K8H6x8fbOy06t2VsZHhMHf-1x7Y/edit?usp=sharing"",""แผน!AG82"")"),1000)</f>
        <v>1000</v>
      </c>
      <c r="M205" s="45"/>
      <c r="N205" s="566">
        <v>0</v>
      </c>
      <c r="O205" s="136"/>
      <c r="P205" s="45"/>
      <c r="Q205" s="45"/>
      <c r="R205" s="45"/>
      <c r="S205" s="45"/>
      <c r="T205" s="136"/>
      <c r="U205" s="45"/>
    </row>
    <row r="206" spans="1:21" ht="18.75" x14ac:dyDescent="0.25">
      <c r="A206" s="224"/>
      <c r="B206" s="159"/>
      <c r="C206" s="199"/>
      <c r="D206" s="270" t="s">
        <v>300</v>
      </c>
      <c r="E206" s="199"/>
      <c r="F206" s="199"/>
      <c r="G206" s="42"/>
      <c r="H206" s="43" t="s">
        <v>14</v>
      </c>
      <c r="I206" s="44"/>
      <c r="J206" s="44"/>
      <c r="K206" s="45"/>
      <c r="L206" s="519">
        <f ca="1">IFERROR(__xludf.DUMMYFUNCTION("IMPORTRANGE(""https://docs.google.com/spreadsheets/d/1eHaY18a8A9IcSdp1K8H6x8fbOy06t2VsZHhMHf-1x7Y/edit?usp=sharing"",""แผน!AH82"")"),0)</f>
        <v>0</v>
      </c>
      <c r="M206" s="45"/>
      <c r="N206" s="566">
        <v>0</v>
      </c>
      <c r="O206" s="136"/>
      <c r="P206" s="45"/>
      <c r="Q206" s="45"/>
      <c r="R206" s="45"/>
      <c r="S206" s="45"/>
      <c r="T206" s="136"/>
      <c r="U206" s="45"/>
    </row>
    <row r="207" spans="1:21" ht="18.75" x14ac:dyDescent="0.25">
      <c r="A207" s="224"/>
      <c r="B207" s="159"/>
      <c r="C207" s="199"/>
      <c r="D207" s="270" t="s">
        <v>88</v>
      </c>
      <c r="E207" s="199"/>
      <c r="F207" s="199"/>
      <c r="G207" s="42"/>
      <c r="H207" s="43" t="s">
        <v>14</v>
      </c>
      <c r="I207" s="44"/>
      <c r="J207" s="44"/>
      <c r="K207" s="45"/>
      <c r="L207" s="519">
        <f ca="1">IFERROR(__xludf.DUMMYFUNCTION("IMPORTRANGE(""https://docs.google.com/spreadsheets/d/1eHaY18a8A9IcSdp1K8H6x8fbOy06t2VsZHhMHf-1x7Y/edit?usp=sharing"",""แผน!AI82"")"),0)</f>
        <v>0</v>
      </c>
      <c r="M207" s="45"/>
      <c r="N207" s="566">
        <v>0</v>
      </c>
      <c r="O207" s="136"/>
      <c r="P207" s="45"/>
      <c r="Q207" s="45"/>
      <c r="R207" s="45"/>
      <c r="S207" s="45"/>
      <c r="T207" s="136"/>
      <c r="U207" s="45"/>
    </row>
    <row r="208" spans="1:21" ht="18.75" x14ac:dyDescent="0.25">
      <c r="A208" s="224"/>
      <c r="B208" s="159"/>
      <c r="C208" s="199"/>
      <c r="D208" s="270" t="s">
        <v>89</v>
      </c>
      <c r="E208" s="199"/>
      <c r="F208" s="199"/>
      <c r="G208" s="42"/>
      <c r="H208" s="43" t="s">
        <v>14</v>
      </c>
      <c r="I208" s="44"/>
      <c r="J208" s="44"/>
      <c r="K208" s="45"/>
      <c r="L208" s="519">
        <f ca="1">IFERROR(__xludf.DUMMYFUNCTION("IMPORTRANGE(""https://docs.google.com/spreadsheets/d/1eHaY18a8A9IcSdp1K8H6x8fbOy06t2VsZHhMHf-1x7Y/edit?usp=sharing"",""แผน!AJ82"")"),4000)</f>
        <v>4000</v>
      </c>
      <c r="M208" s="45"/>
      <c r="N208" s="566">
        <v>0</v>
      </c>
      <c r="O208" s="136"/>
      <c r="P208" s="45"/>
      <c r="Q208" s="45"/>
      <c r="R208" s="45"/>
      <c r="S208" s="45"/>
      <c r="T208" s="136"/>
      <c r="U208" s="45"/>
    </row>
    <row r="209" spans="1:21" ht="19.5" x14ac:dyDescent="0.3">
      <c r="A209" s="138"/>
      <c r="B209" s="139"/>
      <c r="C209" s="198" t="s">
        <v>18</v>
      </c>
      <c r="D209" s="546" t="s">
        <v>38</v>
      </c>
      <c r="E209" s="141"/>
      <c r="F209" s="141"/>
      <c r="G209" s="142"/>
      <c r="H209" s="143"/>
      <c r="I209" s="135"/>
      <c r="J209" s="135"/>
      <c r="K209" s="136"/>
      <c r="L209" s="547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33" t="s">
        <v>90</v>
      </c>
      <c r="E210" s="169"/>
      <c r="F210" s="169"/>
      <c r="G210" s="143"/>
      <c r="H210" s="244" t="s">
        <v>85</v>
      </c>
      <c r="I210" s="152">
        <f ca="1">IFERROR(__xludf.DUMMYFUNCTION("IMPORTRANGE(""https://docs.google.com/spreadsheets/d/1eHaY18a8A9IcSdp1K8H6x8fbOy06t2VsZHhMHf-1x7Y/edit?usp=sharing"",""แผน!AK82"")"),2)</f>
        <v>2</v>
      </c>
      <c r="J210" s="168">
        <v>0</v>
      </c>
      <c r="K210" s="153">
        <f ca="1">IF(I210&gt;0,J210*100/I210,0)</f>
        <v>0</v>
      </c>
      <c r="L210" s="522"/>
      <c r="M210" s="45"/>
      <c r="N210" s="45"/>
      <c r="O210" s="45"/>
      <c r="P210" s="45"/>
      <c r="Q210" s="45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67" t="s">
        <v>50</v>
      </c>
      <c r="E211" s="169"/>
      <c r="F211" s="169"/>
      <c r="G211" s="143"/>
      <c r="H211" s="143"/>
      <c r="I211" s="44"/>
      <c r="J211" s="44"/>
      <c r="K211" s="136"/>
      <c r="L211" s="522"/>
      <c r="M211" s="45"/>
      <c r="N211" s="45"/>
      <c r="O211" s="45"/>
      <c r="P211" s="45"/>
      <c r="Q211" s="45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69"/>
      <c r="E212" s="167" t="s">
        <v>91</v>
      </c>
      <c r="F212" s="169"/>
      <c r="G212" s="143"/>
      <c r="H212" s="244" t="s">
        <v>85</v>
      </c>
      <c r="I212" s="152">
        <f ca="1">IFERROR(__xludf.DUMMYFUNCTION("IMPORTRANGE(""https://docs.google.com/spreadsheets/d/1eHaY18a8A9IcSdp1K8H6x8fbOy06t2VsZHhMHf-1x7Y/edit?usp=sharing"",""แผน!JX82"")"),1)</f>
        <v>1</v>
      </c>
      <c r="J212" s="168">
        <v>0</v>
      </c>
      <c r="K212" s="153">
        <f t="shared" ref="K212:K214" ca="1" si="146">IF(I212&gt;0,J212*100/I212,0)</f>
        <v>0</v>
      </c>
      <c r="L212" s="522"/>
      <c r="M212" s="45"/>
      <c r="N212" s="45"/>
      <c r="O212" s="45"/>
      <c r="P212" s="45"/>
      <c r="Q212" s="45"/>
      <c r="R212" s="45"/>
      <c r="S212" s="45"/>
      <c r="T212" s="45"/>
      <c r="U212" s="45"/>
    </row>
    <row r="213" spans="1:21" ht="18.75" x14ac:dyDescent="0.25">
      <c r="A213" s="138"/>
      <c r="B213" s="139"/>
      <c r="C213" s="139"/>
      <c r="D213" s="169"/>
      <c r="E213" s="167" t="s">
        <v>92</v>
      </c>
      <c r="F213" s="169"/>
      <c r="G213" s="169"/>
      <c r="H213" s="247" t="s">
        <v>93</v>
      </c>
      <c r="I213" s="152">
        <f ca="1">IFERROR(__xludf.DUMMYFUNCTION("IMPORTRANGE(""https://docs.google.com/spreadsheets/d/1eHaY18a8A9IcSdp1K8H6x8fbOy06t2VsZHhMHf-1x7Y/edit?usp=sharing"",""แผน!JY82"")"),0)</f>
        <v>0</v>
      </c>
      <c r="J213" s="168">
        <v>0</v>
      </c>
      <c r="K213" s="153">
        <f t="shared" ca="1" si="146"/>
        <v>0</v>
      </c>
      <c r="L213" s="522"/>
      <c r="M213" s="45"/>
      <c r="N213" s="45"/>
      <c r="O213" s="45"/>
      <c r="P213" s="45"/>
      <c r="Q213" s="45"/>
      <c r="R213" s="45"/>
      <c r="S213" s="45"/>
      <c r="T213" s="45"/>
      <c r="U213" s="45"/>
    </row>
    <row r="214" spans="1:21" ht="19.5" hidden="1" x14ac:dyDescent="0.3">
      <c r="A214" s="229"/>
      <c r="B214" s="230"/>
      <c r="C214" s="231" t="s">
        <v>94</v>
      </c>
      <c r="D214" s="232"/>
      <c r="E214" s="232"/>
      <c r="F214" s="232"/>
      <c r="G214" s="233"/>
      <c r="H214" s="332" t="s">
        <v>85</v>
      </c>
      <c r="I214" s="235">
        <f t="shared" ref="I214:J214" ca="1" si="147">I221</f>
        <v>0</v>
      </c>
      <c r="J214" s="235">
        <f t="shared" si="147"/>
        <v>0</v>
      </c>
      <c r="K214" s="236">
        <f t="shared" ca="1" si="146"/>
        <v>0</v>
      </c>
      <c r="L214" s="562"/>
      <c r="M214" s="237"/>
      <c r="N214" s="237"/>
      <c r="O214" s="237"/>
      <c r="P214" s="237"/>
      <c r="Q214" s="237"/>
      <c r="R214" s="237"/>
      <c r="S214" s="237"/>
      <c r="T214" s="237"/>
      <c r="U214" s="237"/>
    </row>
    <row r="215" spans="1:21" ht="19.5" hidden="1" x14ac:dyDescent="0.3">
      <c r="A215" s="128"/>
      <c r="B215" s="199"/>
      <c r="C215" s="198" t="s">
        <v>18</v>
      </c>
      <c r="D215" s="563" t="s">
        <v>19</v>
      </c>
      <c r="E215" s="199"/>
      <c r="F215" s="199"/>
      <c r="G215" s="42"/>
      <c r="H215" s="239" t="s">
        <v>14</v>
      </c>
      <c r="I215" s="135"/>
      <c r="J215" s="135"/>
      <c r="K215" s="136"/>
      <c r="L215" s="545">
        <f ca="1">L216+L217+L218</f>
        <v>0</v>
      </c>
      <c r="M215" s="45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5"/>
      <c r="R215" s="45"/>
      <c r="S215" s="45"/>
      <c r="T215" s="45"/>
      <c r="U215" s="45"/>
    </row>
    <row r="216" spans="1:21" ht="18.75" hidden="1" x14ac:dyDescent="0.25">
      <c r="A216" s="128"/>
      <c r="B216" s="159"/>
      <c r="C216" s="199"/>
      <c r="D216" s="270" t="s">
        <v>86</v>
      </c>
      <c r="E216" s="199"/>
      <c r="F216" s="199"/>
      <c r="G216" s="42"/>
      <c r="H216" s="134" t="s">
        <v>14</v>
      </c>
      <c r="I216" s="135"/>
      <c r="J216" s="135"/>
      <c r="K216" s="136"/>
      <c r="L216" s="519">
        <f ca="1">IFERROR(__xludf.DUMMYFUNCTION("IMPORTRANGE(""https://docs.google.com/spreadsheets/d/1eHaY18a8A9IcSdp1K8H6x8fbOy06t2VsZHhMHf-1x7Y/edit?usp=sharing"",""แผน!AM82"")"),0)</f>
        <v>0</v>
      </c>
      <c r="M216" s="45"/>
      <c r="N216" s="566">
        <v>0</v>
      </c>
      <c r="O216" s="136"/>
      <c r="P216" s="45"/>
      <c r="Q216" s="45"/>
      <c r="R216" s="45"/>
      <c r="S216" s="45"/>
      <c r="T216" s="136"/>
      <c r="U216" s="45"/>
    </row>
    <row r="217" spans="1:21" ht="18.75" hidden="1" x14ac:dyDescent="0.25">
      <c r="A217" s="224"/>
      <c r="B217" s="159"/>
      <c r="C217" s="159"/>
      <c r="D217" s="270" t="s">
        <v>95</v>
      </c>
      <c r="E217" s="199"/>
      <c r="F217" s="199"/>
      <c r="G217" s="42"/>
      <c r="H217" s="134" t="s">
        <v>14</v>
      </c>
      <c r="I217" s="44"/>
      <c r="J217" s="44"/>
      <c r="K217" s="45"/>
      <c r="L217" s="519">
        <f ca="1">IFERROR(__xludf.DUMMYFUNCTION("IMPORTRANGE(""https://docs.google.com/spreadsheets/d/1eHaY18a8A9IcSdp1K8H6x8fbOy06t2VsZHhMHf-1x7Y/edit?usp=sharing"",""แผน!AN82"")"),0)</f>
        <v>0</v>
      </c>
      <c r="M217" s="45"/>
      <c r="N217" s="566">
        <v>0</v>
      </c>
      <c r="O217" s="136"/>
      <c r="P217" s="45"/>
      <c r="Q217" s="45"/>
      <c r="R217" s="45"/>
      <c r="S217" s="45"/>
      <c r="T217" s="136"/>
      <c r="U217" s="45"/>
    </row>
    <row r="218" spans="1:21" ht="18.75" hidden="1" x14ac:dyDescent="0.25">
      <c r="A218" s="224"/>
      <c r="B218" s="159"/>
      <c r="C218" s="159"/>
      <c r="D218" s="270" t="s">
        <v>88</v>
      </c>
      <c r="E218" s="199"/>
      <c r="F218" s="199"/>
      <c r="G218" s="42"/>
      <c r="H218" s="134" t="s">
        <v>14</v>
      </c>
      <c r="I218" s="44"/>
      <c r="J218" s="44"/>
      <c r="K218" s="45"/>
      <c r="L218" s="519">
        <f ca="1">IFERROR(__xludf.DUMMYFUNCTION("IMPORTRANGE(""https://docs.google.com/spreadsheets/d/1eHaY18a8A9IcSdp1K8H6x8fbOy06t2VsZHhMHf-1x7Y/edit?usp=sharing"",""แผน!AO82"")"),0)</f>
        <v>0</v>
      </c>
      <c r="M218" s="45"/>
      <c r="N218" s="566">
        <v>0</v>
      </c>
      <c r="O218" s="136"/>
      <c r="P218" s="45"/>
      <c r="Q218" s="45"/>
      <c r="R218" s="45"/>
      <c r="S218" s="45"/>
      <c r="T218" s="136"/>
      <c r="U218" s="45"/>
    </row>
    <row r="219" spans="1:21" ht="19.5" hidden="1" x14ac:dyDescent="0.3">
      <c r="A219" s="138"/>
      <c r="B219" s="139"/>
      <c r="C219" s="351" t="s">
        <v>18</v>
      </c>
      <c r="D219" s="546" t="s">
        <v>38</v>
      </c>
      <c r="E219" s="141"/>
      <c r="F219" s="141"/>
      <c r="G219" s="142"/>
      <c r="H219" s="143"/>
      <c r="I219" s="135"/>
      <c r="J219" s="44"/>
      <c r="K219" s="45"/>
      <c r="L219" s="522"/>
      <c r="M219" s="45"/>
      <c r="N219" s="45"/>
      <c r="O219" s="136"/>
      <c r="P219" s="136"/>
      <c r="Q219" s="45"/>
      <c r="R219" s="45"/>
      <c r="S219" s="45"/>
      <c r="T219" s="136"/>
      <c r="U219" s="136"/>
    </row>
    <row r="220" spans="1:21" ht="18.75" hidden="1" x14ac:dyDescent="0.25">
      <c r="A220" s="138"/>
      <c r="B220" s="139"/>
      <c r="C220" s="139"/>
      <c r="D220" s="333" t="s">
        <v>96</v>
      </c>
      <c r="E220" s="169"/>
      <c r="F220" s="169"/>
      <c r="G220" s="143"/>
      <c r="H220" s="244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8">
        <v>0</v>
      </c>
      <c r="K220" s="46">
        <f t="shared" ref="K220:K222" ca="1" si="148">IF(I220&gt;0,J220*100/I220,0)</f>
        <v>0</v>
      </c>
      <c r="L220" s="522"/>
      <c r="M220" s="45"/>
      <c r="N220" s="45"/>
      <c r="O220" s="45"/>
      <c r="P220" s="45"/>
      <c r="Q220" s="45"/>
      <c r="R220" s="45"/>
      <c r="S220" s="45"/>
      <c r="T220" s="45"/>
      <c r="U220" s="45"/>
    </row>
    <row r="221" spans="1:21" ht="18.75" hidden="1" x14ac:dyDescent="0.25">
      <c r="A221" s="138"/>
      <c r="B221" s="139"/>
      <c r="C221" s="139"/>
      <c r="D221" s="333" t="s">
        <v>97</v>
      </c>
      <c r="E221" s="169"/>
      <c r="F221" s="169"/>
      <c r="G221" s="143"/>
      <c r="H221" s="244" t="s">
        <v>85</v>
      </c>
      <c r="I221" s="152">
        <f ca="1">IFERROR(__xludf.DUMMYFUNCTION("IMPORTRANGE(""https://docs.google.com/spreadsheets/d/1eHaY18a8A9IcSdp1K8H6x8fbOy06t2VsZHhMHf-1x7Y/edit?usp=sharing"",""แผน!AP82"")"),0)</f>
        <v>0</v>
      </c>
      <c r="J221" s="168">
        <v>0</v>
      </c>
      <c r="K221" s="46">
        <f t="shared" ca="1" si="148"/>
        <v>0</v>
      </c>
      <c r="L221" s="522"/>
      <c r="M221" s="45"/>
      <c r="N221" s="45"/>
      <c r="O221" s="45"/>
      <c r="P221" s="45"/>
      <c r="Q221" s="45"/>
      <c r="R221" s="45"/>
      <c r="S221" s="45"/>
      <c r="T221" s="45"/>
      <c r="U221" s="45"/>
    </row>
    <row r="222" spans="1:21" ht="19.5" x14ac:dyDescent="0.3">
      <c r="A222" s="229"/>
      <c r="B222" s="230"/>
      <c r="C222" s="231" t="s">
        <v>98</v>
      </c>
      <c r="D222" s="232"/>
      <c r="E222" s="232"/>
      <c r="F222" s="232"/>
      <c r="G222" s="233"/>
      <c r="H222" s="234" t="s">
        <v>99</v>
      </c>
      <c r="I222" s="235">
        <f t="shared" ref="I222:J222" ca="1" si="149">I230</f>
        <v>10000</v>
      </c>
      <c r="J222" s="235">
        <f t="shared" si="149"/>
        <v>0</v>
      </c>
      <c r="K222" s="236">
        <f t="shared" ca="1" si="148"/>
        <v>0</v>
      </c>
      <c r="L222" s="562"/>
      <c r="M222" s="237"/>
      <c r="N222" s="237"/>
      <c r="O222" s="237"/>
      <c r="P222" s="237"/>
      <c r="Q222" s="237"/>
      <c r="R222" s="237"/>
      <c r="S222" s="237"/>
      <c r="T222" s="237"/>
      <c r="U222" s="237"/>
    </row>
    <row r="223" spans="1:21" ht="19.5" x14ac:dyDescent="0.3">
      <c r="A223" s="128"/>
      <c r="B223" s="199"/>
      <c r="C223" s="198" t="s">
        <v>18</v>
      </c>
      <c r="D223" s="563" t="s">
        <v>19</v>
      </c>
      <c r="E223" s="199"/>
      <c r="F223" s="199"/>
      <c r="G223" s="42"/>
      <c r="H223" s="239" t="s">
        <v>14</v>
      </c>
      <c r="I223" s="135"/>
      <c r="J223" s="135"/>
      <c r="K223" s="136"/>
      <c r="L223" s="545">
        <f ca="1">L224+L225+L226</f>
        <v>4500</v>
      </c>
      <c r="M223" s="45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5"/>
      <c r="R223" s="45"/>
      <c r="S223" s="45"/>
      <c r="T223" s="45"/>
      <c r="U223" s="45"/>
    </row>
    <row r="224" spans="1:21" ht="18.75" x14ac:dyDescent="0.25">
      <c r="A224" s="128"/>
      <c r="B224" s="159"/>
      <c r="C224" s="199"/>
      <c r="D224" s="565" t="s">
        <v>301</v>
      </c>
      <c r="E224" s="199"/>
      <c r="F224" s="199"/>
      <c r="G224" s="42"/>
      <c r="H224" s="134" t="s">
        <v>14</v>
      </c>
      <c r="I224" s="135"/>
      <c r="J224" s="135"/>
      <c r="K224" s="136"/>
      <c r="L224" s="519">
        <f ca="1">IFERROR(__xludf.DUMMYFUNCTION("IMPORTRANGE(""https://docs.google.com/spreadsheets/d/1eHaY18a8A9IcSdp1K8H6x8fbOy06t2VsZHhMHf-1x7Y/edit?usp=sharing"",""แผน!AR82"")"),2500)</f>
        <v>2500</v>
      </c>
      <c r="M224" s="45"/>
      <c r="N224" s="566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24"/>
      <c r="B225" s="159"/>
      <c r="C225" s="159"/>
      <c r="D225" s="270" t="s">
        <v>300</v>
      </c>
      <c r="E225" s="199"/>
      <c r="F225" s="199"/>
      <c r="G225" s="42"/>
      <c r="H225" s="134" t="s">
        <v>14</v>
      </c>
      <c r="I225" s="44"/>
      <c r="J225" s="44"/>
      <c r="K225" s="45"/>
      <c r="L225" s="519">
        <f ca="1">IFERROR(__xludf.DUMMYFUNCTION("IMPORTRANGE(""https://docs.google.com/spreadsheets/d/1eHaY18a8A9IcSdp1K8H6x8fbOy06t2VsZHhMHf-1x7Y/edit?usp=sharing"",""แผน!AS82"")"),2000)</f>
        <v>2000</v>
      </c>
      <c r="M225" s="45"/>
      <c r="N225" s="566">
        <v>0</v>
      </c>
      <c r="O225" s="136"/>
      <c r="P225" s="45"/>
      <c r="Q225" s="45"/>
      <c r="R225" s="45"/>
      <c r="S225" s="45"/>
      <c r="T225" s="136"/>
      <c r="U225" s="45"/>
    </row>
    <row r="226" spans="1:21" ht="18.75" x14ac:dyDescent="0.25">
      <c r="A226" s="224"/>
      <c r="B226" s="159"/>
      <c r="C226" s="159"/>
      <c r="D226" s="270" t="s">
        <v>88</v>
      </c>
      <c r="E226" s="199"/>
      <c r="F226" s="199"/>
      <c r="G226" s="42"/>
      <c r="H226" s="134" t="s">
        <v>14</v>
      </c>
      <c r="I226" s="44"/>
      <c r="J226" s="44"/>
      <c r="K226" s="45"/>
      <c r="L226" s="519">
        <f ca="1">IFERROR(__xludf.DUMMYFUNCTION("IMPORTRANGE(""https://docs.google.com/spreadsheets/d/1eHaY18a8A9IcSdp1K8H6x8fbOy06t2VsZHhMHf-1x7Y/edit?usp=sharing"",""แผน!AT82"")"),0)</f>
        <v>0</v>
      </c>
      <c r="M226" s="45"/>
      <c r="N226" s="566">
        <v>0</v>
      </c>
      <c r="O226" s="136"/>
      <c r="P226" s="45"/>
      <c r="Q226" s="45"/>
      <c r="R226" s="45"/>
      <c r="S226" s="45"/>
      <c r="T226" s="136"/>
      <c r="U226" s="45"/>
    </row>
    <row r="227" spans="1:21" ht="19.5" x14ac:dyDescent="0.3">
      <c r="A227" s="138"/>
      <c r="B227" s="139"/>
      <c r="C227" s="351" t="s">
        <v>18</v>
      </c>
      <c r="D227" s="546" t="s">
        <v>38</v>
      </c>
      <c r="E227" s="141"/>
      <c r="F227" s="141"/>
      <c r="G227" s="142"/>
      <c r="H227" s="143"/>
      <c r="I227" s="135"/>
      <c r="J227" s="135"/>
      <c r="K227" s="136"/>
      <c r="L227" s="547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70" t="s">
        <v>101</v>
      </c>
      <c r="E228" s="169"/>
      <c r="F228" s="169"/>
      <c r="G228" s="143"/>
      <c r="H228" s="143"/>
      <c r="I228" s="44"/>
      <c r="J228" s="44"/>
      <c r="K228" s="136"/>
      <c r="L228" s="547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33" t="s">
        <v>102</v>
      </c>
      <c r="F229" s="169"/>
      <c r="G229" s="143"/>
      <c r="H229" s="247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8">
        <v>0</v>
      </c>
      <c r="K229" s="153">
        <f t="shared" ref="K229:K232" ca="1" si="150">IF(I229&gt;0,J229*100/I229,0)</f>
        <v>0</v>
      </c>
      <c r="L229" s="547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33" t="s">
        <v>103</v>
      </c>
      <c r="F230" s="169"/>
      <c r="G230" s="143"/>
      <c r="H230" s="247" t="s">
        <v>99</v>
      </c>
      <c r="I230" s="152">
        <f ca="1">IFERROR(__xludf.DUMMYFUNCTION("IMPORTRANGE(""https://docs.google.com/spreadsheets/d/1eHaY18a8A9IcSdp1K8H6x8fbOy06t2VsZHhMHf-1x7Y/edit?usp=sharing"",""แผน!AV82"")"),10000)</f>
        <v>10000</v>
      </c>
      <c r="J230" s="168">
        <v>0</v>
      </c>
      <c r="K230" s="153">
        <f t="shared" ca="1" si="150"/>
        <v>0</v>
      </c>
      <c r="L230" s="522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8.75" x14ac:dyDescent="0.25">
      <c r="A231" s="138"/>
      <c r="B231" s="139"/>
      <c r="C231" s="139"/>
      <c r="D231" s="270" t="s">
        <v>104</v>
      </c>
      <c r="E231" s="169"/>
      <c r="F231" s="169"/>
      <c r="G231" s="143"/>
      <c r="H231" s="247" t="s">
        <v>35</v>
      </c>
      <c r="I231" s="152">
        <f ca="1">IFERROR(__xludf.DUMMYFUNCTION("IMPORTRANGE(""https://docs.google.com/spreadsheets/d/1eHaY18a8A9IcSdp1K8H6x8fbOy06t2VsZHhMHf-1x7Y/edit?usp=sharing"",""แผน!AU82"")"),0)</f>
        <v>0</v>
      </c>
      <c r="J231" s="168">
        <v>0</v>
      </c>
      <c r="K231" s="153">
        <f t="shared" ca="1" si="150"/>
        <v>0</v>
      </c>
      <c r="L231" s="522"/>
      <c r="M231" s="45"/>
      <c r="N231" s="45"/>
      <c r="O231" s="45"/>
      <c r="P231" s="45"/>
      <c r="Q231" s="45"/>
      <c r="R231" s="45"/>
      <c r="S231" s="45"/>
      <c r="T231" s="45"/>
      <c r="U231" s="45"/>
    </row>
    <row r="232" spans="1:21" ht="19.5" hidden="1" x14ac:dyDescent="0.3">
      <c r="A232" s="567"/>
      <c r="B232" s="568"/>
      <c r="C232" s="569" t="s">
        <v>105</v>
      </c>
      <c r="D232" s="570"/>
      <c r="E232" s="570"/>
      <c r="F232" s="570"/>
      <c r="G232" s="571"/>
      <c r="H232" s="572" t="s">
        <v>35</v>
      </c>
      <c r="I232" s="573">
        <f t="shared" ref="I232:J232" ca="1" si="151">I243+I254</f>
        <v>0</v>
      </c>
      <c r="J232" s="573">
        <f t="shared" si="151"/>
        <v>0</v>
      </c>
      <c r="K232" s="574">
        <f t="shared" ca="1" si="150"/>
        <v>0</v>
      </c>
      <c r="L232" s="562"/>
      <c r="M232" s="237"/>
      <c r="N232" s="237"/>
      <c r="O232" s="237"/>
      <c r="P232" s="237"/>
      <c r="Q232" s="237"/>
      <c r="R232" s="237"/>
      <c r="S232" s="237"/>
      <c r="T232" s="237"/>
      <c r="U232" s="237"/>
    </row>
    <row r="233" spans="1:21" ht="19.5" hidden="1" x14ac:dyDescent="0.3">
      <c r="A233" s="575"/>
      <c r="B233" s="576"/>
      <c r="C233" s="577" t="s">
        <v>18</v>
      </c>
      <c r="D233" s="578" t="s">
        <v>19</v>
      </c>
      <c r="E233" s="576"/>
      <c r="F233" s="576"/>
      <c r="G233" s="579"/>
      <c r="H233" s="398" t="s">
        <v>14</v>
      </c>
      <c r="I233" s="580"/>
      <c r="J233" s="580"/>
      <c r="K233" s="581"/>
      <c r="L233" s="582">
        <f t="shared" ref="L233:L237" ca="1" si="152">L244+L255</f>
        <v>0</v>
      </c>
      <c r="M233" s="45"/>
      <c r="N233" s="583">
        <f t="shared" ref="N233:N237" si="153">N244+N255</f>
        <v>0</v>
      </c>
      <c r="O233" s="45"/>
      <c r="P233" s="45"/>
      <c r="Q233" s="45"/>
      <c r="R233" s="45"/>
      <c r="S233" s="45"/>
      <c r="T233" s="45"/>
      <c r="U233" s="45"/>
    </row>
    <row r="234" spans="1:21" ht="18.75" hidden="1" x14ac:dyDescent="0.25">
      <c r="A234" s="575"/>
      <c r="B234" s="584"/>
      <c r="C234" s="576"/>
      <c r="D234" s="157" t="s">
        <v>86</v>
      </c>
      <c r="E234" s="576"/>
      <c r="F234" s="576"/>
      <c r="G234" s="579"/>
      <c r="H234" s="160" t="s">
        <v>14</v>
      </c>
      <c r="I234" s="580"/>
      <c r="J234" s="580"/>
      <c r="K234" s="581"/>
      <c r="L234" s="521">
        <f t="shared" ca="1" si="152"/>
        <v>0</v>
      </c>
      <c r="M234" s="45"/>
      <c r="N234" s="48">
        <f t="shared" si="153"/>
        <v>0</v>
      </c>
      <c r="O234" s="45"/>
      <c r="P234" s="45"/>
      <c r="Q234" s="45"/>
      <c r="R234" s="45"/>
      <c r="S234" s="45"/>
      <c r="T234" s="45"/>
      <c r="U234" s="45"/>
    </row>
    <row r="235" spans="1:21" ht="18.75" hidden="1" x14ac:dyDescent="0.25">
      <c r="A235" s="585"/>
      <c r="B235" s="584"/>
      <c r="C235" s="584"/>
      <c r="D235" s="157" t="s">
        <v>88</v>
      </c>
      <c r="E235" s="576"/>
      <c r="F235" s="576"/>
      <c r="G235" s="579"/>
      <c r="H235" s="160" t="s">
        <v>14</v>
      </c>
      <c r="I235" s="586"/>
      <c r="J235" s="586"/>
      <c r="K235" s="587"/>
      <c r="L235" s="521">
        <f t="shared" ca="1" si="152"/>
        <v>0</v>
      </c>
      <c r="M235" s="45"/>
      <c r="N235" s="48">
        <f t="shared" si="153"/>
        <v>0</v>
      </c>
      <c r="O235" s="45"/>
      <c r="P235" s="45"/>
      <c r="Q235" s="45"/>
      <c r="R235" s="45"/>
      <c r="S235" s="45"/>
      <c r="T235" s="45"/>
      <c r="U235" s="45"/>
    </row>
    <row r="236" spans="1:21" ht="18.75" hidden="1" x14ac:dyDescent="0.25">
      <c r="A236" s="585"/>
      <c r="B236" s="584"/>
      <c r="C236" s="584"/>
      <c r="D236" s="157" t="s">
        <v>106</v>
      </c>
      <c r="E236" s="576"/>
      <c r="F236" s="576"/>
      <c r="G236" s="579"/>
      <c r="H236" s="160" t="s">
        <v>14</v>
      </c>
      <c r="I236" s="586"/>
      <c r="J236" s="586"/>
      <c r="K236" s="587"/>
      <c r="L236" s="521">
        <f t="shared" ca="1" si="152"/>
        <v>0</v>
      </c>
      <c r="M236" s="45"/>
      <c r="N236" s="48">
        <f t="shared" si="153"/>
        <v>0</v>
      </c>
      <c r="O236" s="45"/>
      <c r="P236" s="45"/>
      <c r="Q236" s="45"/>
      <c r="R236" s="45"/>
      <c r="S236" s="45"/>
      <c r="T236" s="45"/>
      <c r="U236" s="45"/>
    </row>
    <row r="237" spans="1:21" ht="18.75" hidden="1" x14ac:dyDescent="0.25">
      <c r="A237" s="585"/>
      <c r="B237" s="584"/>
      <c r="C237" s="584"/>
      <c r="D237" s="157" t="s">
        <v>107</v>
      </c>
      <c r="E237" s="576"/>
      <c r="F237" s="576"/>
      <c r="G237" s="579"/>
      <c r="H237" s="160" t="s">
        <v>14</v>
      </c>
      <c r="I237" s="586"/>
      <c r="J237" s="586"/>
      <c r="K237" s="587"/>
      <c r="L237" s="521">
        <f t="shared" ca="1" si="152"/>
        <v>0</v>
      </c>
      <c r="M237" s="45"/>
      <c r="N237" s="48">
        <f t="shared" si="153"/>
        <v>0</v>
      </c>
      <c r="O237" s="45"/>
      <c r="P237" s="45"/>
      <c r="Q237" s="45"/>
      <c r="R237" s="45"/>
      <c r="S237" s="45"/>
      <c r="T237" s="45"/>
      <c r="U237" s="45"/>
    </row>
    <row r="238" spans="1:21" ht="19.5" hidden="1" x14ac:dyDescent="0.3">
      <c r="A238" s="588"/>
      <c r="B238" s="589"/>
      <c r="C238" s="590" t="s">
        <v>18</v>
      </c>
      <c r="D238" s="591" t="s">
        <v>38</v>
      </c>
      <c r="E238" s="592"/>
      <c r="F238" s="592"/>
      <c r="G238" s="593"/>
      <c r="H238" s="594"/>
      <c r="I238" s="580"/>
      <c r="J238" s="586"/>
      <c r="K238" s="587"/>
      <c r="L238" s="522"/>
      <c r="M238" s="45"/>
      <c r="N238" s="45"/>
      <c r="O238" s="136"/>
      <c r="P238" s="136"/>
      <c r="Q238" s="45"/>
      <c r="R238" s="45"/>
      <c r="S238" s="45"/>
      <c r="T238" s="136"/>
      <c r="U238" s="136"/>
    </row>
    <row r="239" spans="1:21" ht="18.75" hidden="1" x14ac:dyDescent="0.25">
      <c r="A239" s="588"/>
      <c r="B239" s="589"/>
      <c r="C239" s="589"/>
      <c r="D239" s="192" t="s">
        <v>108</v>
      </c>
      <c r="E239" s="595"/>
      <c r="F239" s="595"/>
      <c r="G239" s="594"/>
      <c r="H239" s="596" t="s">
        <v>35</v>
      </c>
      <c r="I239" s="340">
        <f t="shared" ref="I239:J239" ca="1" si="154">I250+I261</f>
        <v>0</v>
      </c>
      <c r="J239" s="340">
        <f t="shared" si="154"/>
        <v>0</v>
      </c>
      <c r="K239" s="48">
        <f ca="1">IF(I239&gt;0,J239*100/I239,0)</f>
        <v>0</v>
      </c>
      <c r="L239" s="522"/>
      <c r="M239" s="45"/>
      <c r="N239" s="45"/>
      <c r="O239" s="45"/>
      <c r="P239" s="45"/>
      <c r="Q239" s="45"/>
      <c r="R239" s="45"/>
      <c r="S239" s="45"/>
      <c r="T239" s="45"/>
      <c r="U239" s="45"/>
    </row>
    <row r="240" spans="1:21" ht="18.75" hidden="1" x14ac:dyDescent="0.25">
      <c r="A240" s="588"/>
      <c r="B240" s="589"/>
      <c r="C240" s="589"/>
      <c r="D240" s="597" t="s">
        <v>43</v>
      </c>
      <c r="E240" s="595"/>
      <c r="F240" s="595"/>
      <c r="G240" s="594"/>
      <c r="H240" s="594"/>
      <c r="I240" s="586"/>
      <c r="J240" s="586"/>
      <c r="K240" s="587"/>
      <c r="L240" s="522"/>
      <c r="M240" s="45"/>
      <c r="N240" s="45"/>
      <c r="O240" s="136"/>
      <c r="P240" s="136"/>
      <c r="Q240" s="45"/>
      <c r="R240" s="45"/>
      <c r="S240" s="45"/>
      <c r="T240" s="136"/>
      <c r="U240" s="136"/>
    </row>
    <row r="241" spans="1:21" ht="18.75" hidden="1" x14ac:dyDescent="0.25">
      <c r="A241" s="588"/>
      <c r="B241" s="589"/>
      <c r="C241" s="589"/>
      <c r="D241" s="589"/>
      <c r="E241" s="598" t="s">
        <v>109</v>
      </c>
      <c r="F241" s="595"/>
      <c r="G241" s="594"/>
      <c r="H241" s="596" t="s">
        <v>35</v>
      </c>
      <c r="I241" s="340">
        <f t="shared" ref="I241:J242" si="155">I252+I263</f>
        <v>0</v>
      </c>
      <c r="J241" s="340">
        <f t="shared" si="155"/>
        <v>0</v>
      </c>
      <c r="K241" s="48">
        <f t="shared" ref="K241:K243" si="156">IF(I241&gt;0,J241*100/I241,0)</f>
        <v>0</v>
      </c>
      <c r="L241" s="522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8.75" hidden="1" x14ac:dyDescent="0.25">
      <c r="A242" s="588"/>
      <c r="B242" s="589"/>
      <c r="C242" s="589"/>
      <c r="D242" s="589"/>
      <c r="E242" s="598" t="s">
        <v>110</v>
      </c>
      <c r="F242" s="595"/>
      <c r="G242" s="594"/>
      <c r="H242" s="596" t="s">
        <v>61</v>
      </c>
      <c r="I242" s="340">
        <f t="shared" si="155"/>
        <v>0</v>
      </c>
      <c r="J242" s="340">
        <f t="shared" si="155"/>
        <v>0</v>
      </c>
      <c r="K242" s="48">
        <f t="shared" si="156"/>
        <v>0</v>
      </c>
      <c r="L242" s="522"/>
      <c r="M242" s="45"/>
      <c r="N242" s="45"/>
      <c r="O242" s="45"/>
      <c r="P242" s="45"/>
      <c r="Q242" s="45"/>
      <c r="R242" s="45"/>
      <c r="S242" s="45"/>
      <c r="T242" s="45"/>
      <c r="U242" s="45"/>
    </row>
    <row r="243" spans="1:21" ht="19.5" hidden="1" x14ac:dyDescent="0.3">
      <c r="A243" s="229"/>
      <c r="B243" s="230"/>
      <c r="C243" s="569" t="s">
        <v>111</v>
      </c>
      <c r="D243" s="232"/>
      <c r="E243" s="232"/>
      <c r="F243" s="232"/>
      <c r="G243" s="233"/>
      <c r="H243" s="572" t="s">
        <v>35</v>
      </c>
      <c r="I243" s="573">
        <f t="shared" ref="I243:J243" ca="1" si="157">I250</f>
        <v>0</v>
      </c>
      <c r="J243" s="573">
        <f t="shared" si="157"/>
        <v>0</v>
      </c>
      <c r="K243" s="574">
        <f t="shared" ca="1" si="156"/>
        <v>0</v>
      </c>
      <c r="L243" s="562"/>
      <c r="M243" s="237"/>
      <c r="N243" s="237"/>
      <c r="O243" s="237"/>
      <c r="P243" s="237"/>
      <c r="Q243" s="237"/>
      <c r="R243" s="237"/>
      <c r="S243" s="237"/>
      <c r="T243" s="237"/>
      <c r="U243" s="237"/>
    </row>
    <row r="244" spans="1:21" ht="19.5" hidden="1" x14ac:dyDescent="0.3">
      <c r="A244" s="128"/>
      <c r="B244" s="199"/>
      <c r="C244" s="577" t="s">
        <v>18</v>
      </c>
      <c r="D244" s="578" t="s">
        <v>19</v>
      </c>
      <c r="E244" s="199"/>
      <c r="F244" s="199"/>
      <c r="G244" s="42"/>
      <c r="H244" s="398" t="s">
        <v>14</v>
      </c>
      <c r="I244" s="135"/>
      <c r="J244" s="135"/>
      <c r="K244" s="136"/>
      <c r="L244" s="545">
        <f ca="1">L245+L246+L247+L248</f>
        <v>0</v>
      </c>
      <c r="M244" s="45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5"/>
      <c r="R244" s="45"/>
      <c r="S244" s="45"/>
      <c r="T244" s="45"/>
      <c r="U244" s="45"/>
    </row>
    <row r="245" spans="1:21" ht="18.75" hidden="1" x14ac:dyDescent="0.25">
      <c r="A245" s="128"/>
      <c r="B245" s="159"/>
      <c r="C245" s="199"/>
      <c r="D245" s="157" t="s">
        <v>86</v>
      </c>
      <c r="E245" s="199"/>
      <c r="F245" s="199"/>
      <c r="G245" s="42"/>
      <c r="H245" s="160" t="s">
        <v>14</v>
      </c>
      <c r="I245" s="135"/>
      <c r="J245" s="135"/>
      <c r="K245" s="136"/>
      <c r="L245" s="519">
        <f ca="1">IFERROR(__xludf.DUMMYFUNCTION("IMPORTRANGE(""https://docs.google.com/spreadsheets/d/1eHaY18a8A9IcSdp1K8H6x8fbOy06t2VsZHhMHf-1x7Y/edit?usp=sharing"",""แผน!AX82"")"),0)</f>
        <v>0</v>
      </c>
      <c r="M245" s="45"/>
      <c r="N245" s="566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24"/>
      <c r="B246" s="159"/>
      <c r="C246" s="159"/>
      <c r="D246" s="157" t="s">
        <v>88</v>
      </c>
      <c r="E246" s="199"/>
      <c r="F246" s="199"/>
      <c r="G246" s="42"/>
      <c r="H246" s="160" t="s">
        <v>14</v>
      </c>
      <c r="I246" s="44"/>
      <c r="J246" s="44"/>
      <c r="K246" s="45"/>
      <c r="L246" s="519">
        <f ca="1">IFERROR(__xludf.DUMMYFUNCTION("IMPORTRANGE(""https://docs.google.com/spreadsheets/d/1eHaY18a8A9IcSdp1K8H6x8fbOy06t2VsZHhMHf-1x7Y/edit?usp=sharing"",""แผน!AY82"")"),0)</f>
        <v>0</v>
      </c>
      <c r="M246" s="45"/>
      <c r="N246" s="566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24"/>
      <c r="B247" s="159"/>
      <c r="C247" s="159"/>
      <c r="D247" s="157" t="s">
        <v>106</v>
      </c>
      <c r="E247" s="199"/>
      <c r="F247" s="199"/>
      <c r="G247" s="42"/>
      <c r="H247" s="160" t="s">
        <v>14</v>
      </c>
      <c r="I247" s="44"/>
      <c r="J247" s="44"/>
      <c r="K247" s="45"/>
      <c r="L247" s="519">
        <f ca="1">IFERROR(__xludf.DUMMYFUNCTION("IMPORTRANGE(""https://docs.google.com/spreadsheets/d/1eHaY18a8A9IcSdp1K8H6x8fbOy06t2VsZHhMHf-1x7Y/edit?usp=sharing"",""แผน!AZ82"")"),0)</f>
        <v>0</v>
      </c>
      <c r="M247" s="45"/>
      <c r="N247" s="566">
        <v>0</v>
      </c>
      <c r="O247" s="45"/>
      <c r="P247" s="45"/>
      <c r="Q247" s="45"/>
      <c r="R247" s="45"/>
      <c r="S247" s="45"/>
      <c r="T247" s="45"/>
      <c r="U247" s="45"/>
    </row>
    <row r="248" spans="1:21" ht="18.75" hidden="1" x14ac:dyDescent="0.25">
      <c r="A248" s="224"/>
      <c r="B248" s="159"/>
      <c r="C248" s="159"/>
      <c r="D248" s="157" t="s">
        <v>107</v>
      </c>
      <c r="E248" s="199"/>
      <c r="F248" s="199"/>
      <c r="G248" s="42"/>
      <c r="H248" s="160" t="s">
        <v>14</v>
      </c>
      <c r="I248" s="44"/>
      <c r="J248" s="44"/>
      <c r="K248" s="45"/>
      <c r="L248" s="519">
        <f ca="1">IFERROR(__xludf.DUMMYFUNCTION("IMPORTRANGE(""https://docs.google.com/spreadsheets/d/1eHaY18a8A9IcSdp1K8H6x8fbOy06t2VsZHhMHf-1x7Y/edit?usp=sharing"",""แผน!BA82"")"),0)</f>
        <v>0</v>
      </c>
      <c r="M248" s="45"/>
      <c r="N248" s="566">
        <v>0</v>
      </c>
      <c r="O248" s="45"/>
      <c r="P248" s="45"/>
      <c r="Q248" s="45"/>
      <c r="R248" s="45"/>
      <c r="S248" s="45"/>
      <c r="T248" s="45"/>
      <c r="U248" s="45"/>
    </row>
    <row r="249" spans="1:21" ht="19.5" hidden="1" x14ac:dyDescent="0.3">
      <c r="A249" s="138"/>
      <c r="B249" s="139"/>
      <c r="C249" s="590" t="s">
        <v>18</v>
      </c>
      <c r="D249" s="591" t="s">
        <v>38</v>
      </c>
      <c r="E249" s="141"/>
      <c r="F249" s="141"/>
      <c r="G249" s="142"/>
      <c r="H249" s="143"/>
      <c r="I249" s="135"/>
      <c r="J249" s="44"/>
      <c r="K249" s="45"/>
      <c r="L249" s="522"/>
      <c r="M249" s="45"/>
      <c r="N249" s="45"/>
      <c r="O249" s="136"/>
      <c r="P249" s="136"/>
      <c r="Q249" s="45"/>
      <c r="R249" s="45"/>
      <c r="S249" s="45"/>
      <c r="T249" s="136"/>
      <c r="U249" s="136"/>
    </row>
    <row r="250" spans="1:21" ht="18.75" hidden="1" x14ac:dyDescent="0.25">
      <c r="A250" s="138"/>
      <c r="B250" s="139"/>
      <c r="C250" s="139"/>
      <c r="D250" s="192" t="s">
        <v>108</v>
      </c>
      <c r="E250" s="169"/>
      <c r="F250" s="169"/>
      <c r="G250" s="143"/>
      <c r="H250" s="596" t="s">
        <v>35</v>
      </c>
      <c r="I250" s="340">
        <f ca="1">IFERROR(__xludf.DUMMYFUNCTION("IMPORTRANGE(""https://docs.google.com/spreadsheets/d/1eHaY18a8A9IcSdp1K8H6x8fbOy06t2VsZHhMHf-1x7Y/edit?usp=sharing"",""แผน!BG82"")"),0)</f>
        <v>0</v>
      </c>
      <c r="J250" s="555">
        <v>0</v>
      </c>
      <c r="K250" s="48">
        <f ca="1">IF(I250&gt;0,J250*100/I250,0)</f>
        <v>0</v>
      </c>
      <c r="L250" s="522"/>
      <c r="M250" s="45"/>
      <c r="N250" s="45"/>
      <c r="O250" s="45"/>
      <c r="P250" s="45"/>
      <c r="Q250" s="45"/>
      <c r="R250" s="45"/>
      <c r="S250" s="45"/>
      <c r="T250" s="45"/>
      <c r="U250" s="45"/>
    </row>
    <row r="251" spans="1:21" ht="18.75" hidden="1" x14ac:dyDescent="0.25">
      <c r="A251" s="138"/>
      <c r="B251" s="139"/>
      <c r="C251" s="139"/>
      <c r="D251" s="597" t="s">
        <v>43</v>
      </c>
      <c r="E251" s="169"/>
      <c r="F251" s="169"/>
      <c r="G251" s="143"/>
      <c r="H251" s="143"/>
      <c r="I251" s="44"/>
      <c r="J251" s="44"/>
      <c r="K251" s="45"/>
      <c r="L251" s="522"/>
      <c r="M251" s="45"/>
      <c r="N251" s="45"/>
      <c r="O251" s="136"/>
      <c r="P251" s="136"/>
      <c r="Q251" s="45"/>
      <c r="R251" s="45"/>
      <c r="S251" s="45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98" t="s">
        <v>109</v>
      </c>
      <c r="F252" s="169"/>
      <c r="G252" s="143"/>
      <c r="H252" s="596" t="s">
        <v>35</v>
      </c>
      <c r="I252" s="340">
        <v>0</v>
      </c>
      <c r="J252" s="555">
        <v>0</v>
      </c>
      <c r="K252" s="48">
        <f t="shared" ref="K252:K254" si="158">IF(I252&gt;0,J252*100/I252,0)</f>
        <v>0</v>
      </c>
      <c r="L252" s="522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8.75" hidden="1" x14ac:dyDescent="0.25">
      <c r="A253" s="138"/>
      <c r="B253" s="139"/>
      <c r="C253" s="139"/>
      <c r="D253" s="139"/>
      <c r="E253" s="598" t="s">
        <v>110</v>
      </c>
      <c r="F253" s="169"/>
      <c r="G253" s="143"/>
      <c r="H253" s="596" t="s">
        <v>61</v>
      </c>
      <c r="I253" s="340">
        <v>0</v>
      </c>
      <c r="J253" s="555">
        <v>0</v>
      </c>
      <c r="K253" s="48">
        <f t="shared" si="158"/>
        <v>0</v>
      </c>
      <c r="L253" s="522"/>
      <c r="M253" s="45"/>
      <c r="N253" s="45"/>
      <c r="O253" s="45"/>
      <c r="P253" s="45"/>
      <c r="Q253" s="45"/>
      <c r="R253" s="45"/>
      <c r="S253" s="45"/>
      <c r="T253" s="45"/>
      <c r="U253" s="45"/>
    </row>
    <row r="254" spans="1:21" ht="19.5" hidden="1" x14ac:dyDescent="0.3">
      <c r="A254" s="229"/>
      <c r="B254" s="230"/>
      <c r="C254" s="569" t="s">
        <v>112</v>
      </c>
      <c r="D254" s="232"/>
      <c r="E254" s="232"/>
      <c r="F254" s="232"/>
      <c r="G254" s="233"/>
      <c r="H254" s="572" t="s">
        <v>35</v>
      </c>
      <c r="I254" s="573">
        <f t="shared" ref="I254:J254" ca="1" si="159">I261</f>
        <v>0</v>
      </c>
      <c r="J254" s="573">
        <f t="shared" si="159"/>
        <v>0</v>
      </c>
      <c r="K254" s="574">
        <f t="shared" ca="1" si="158"/>
        <v>0</v>
      </c>
      <c r="L254" s="562"/>
      <c r="M254" s="237"/>
      <c r="N254" s="237"/>
      <c r="O254" s="237"/>
      <c r="P254" s="237"/>
      <c r="Q254" s="237"/>
      <c r="R254" s="237"/>
      <c r="S254" s="237"/>
      <c r="T254" s="237"/>
      <c r="U254" s="237"/>
    </row>
    <row r="255" spans="1:21" ht="19.5" hidden="1" x14ac:dyDescent="0.3">
      <c r="A255" s="128"/>
      <c r="B255" s="199"/>
      <c r="C255" s="577" t="s">
        <v>18</v>
      </c>
      <c r="D255" s="599" t="s">
        <v>19</v>
      </c>
      <c r="E255" s="199"/>
      <c r="F255" s="199"/>
      <c r="G255" s="42"/>
      <c r="H255" s="398" t="s">
        <v>14</v>
      </c>
      <c r="I255" s="135"/>
      <c r="J255" s="135"/>
      <c r="K255" s="136"/>
      <c r="L255" s="545">
        <f ca="1">L256+L257+L258+L259</f>
        <v>0</v>
      </c>
      <c r="M255" s="45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5"/>
      <c r="R255" s="45"/>
      <c r="S255" s="45"/>
      <c r="T255" s="45"/>
      <c r="U255" s="45"/>
    </row>
    <row r="256" spans="1:21" ht="18.75" hidden="1" x14ac:dyDescent="0.25">
      <c r="A256" s="128"/>
      <c r="B256" s="159"/>
      <c r="C256" s="199"/>
      <c r="D256" s="157" t="s">
        <v>86</v>
      </c>
      <c r="E256" s="199"/>
      <c r="F256" s="199"/>
      <c r="G256" s="42"/>
      <c r="H256" s="160" t="s">
        <v>14</v>
      </c>
      <c r="I256" s="135"/>
      <c r="J256" s="135"/>
      <c r="K256" s="136"/>
      <c r="L256" s="519">
        <f ca="1">IFERROR(__xludf.DUMMYFUNCTION("IMPORTRANGE(""https://docs.google.com/spreadsheets/d/1eHaY18a8A9IcSdp1K8H6x8fbOy06t2VsZHhMHf-1x7Y/edit?usp=sharing"",""แผน!BB82"")"),0)</f>
        <v>0</v>
      </c>
      <c r="M256" s="45"/>
      <c r="N256" s="566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24"/>
      <c r="B257" s="159"/>
      <c r="C257" s="159"/>
      <c r="D257" s="157" t="s">
        <v>88</v>
      </c>
      <c r="E257" s="199"/>
      <c r="F257" s="199"/>
      <c r="G257" s="42"/>
      <c r="H257" s="160" t="s">
        <v>14</v>
      </c>
      <c r="I257" s="44"/>
      <c r="J257" s="44"/>
      <c r="K257" s="45"/>
      <c r="L257" s="519">
        <f ca="1">IFERROR(__xludf.DUMMYFUNCTION("IMPORTRANGE(""https://docs.google.com/spreadsheets/d/1eHaY18a8A9IcSdp1K8H6x8fbOy06t2VsZHhMHf-1x7Y/edit?usp=sharing"",""แผน!BC82"")"),0)</f>
        <v>0</v>
      </c>
      <c r="M257" s="45"/>
      <c r="N257" s="566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24"/>
      <c r="B258" s="159"/>
      <c r="C258" s="159"/>
      <c r="D258" s="157" t="s">
        <v>106</v>
      </c>
      <c r="E258" s="199"/>
      <c r="F258" s="199"/>
      <c r="G258" s="42"/>
      <c r="H258" s="160" t="s">
        <v>14</v>
      </c>
      <c r="I258" s="44"/>
      <c r="J258" s="44"/>
      <c r="K258" s="45"/>
      <c r="L258" s="519">
        <f ca="1">IFERROR(__xludf.DUMMYFUNCTION("IMPORTRANGE(""https://docs.google.com/spreadsheets/d/1eHaY18a8A9IcSdp1K8H6x8fbOy06t2VsZHhMHf-1x7Y/edit?usp=sharing"",""แผน!BD82"")"),0)</f>
        <v>0</v>
      </c>
      <c r="M258" s="45"/>
      <c r="N258" s="566">
        <v>0</v>
      </c>
      <c r="O258" s="45"/>
      <c r="P258" s="45"/>
      <c r="Q258" s="45"/>
      <c r="R258" s="45"/>
      <c r="S258" s="45"/>
      <c r="T258" s="45"/>
      <c r="U258" s="45"/>
    </row>
    <row r="259" spans="1:21" ht="18.75" hidden="1" x14ac:dyDescent="0.25">
      <c r="A259" s="224"/>
      <c r="B259" s="159"/>
      <c r="C259" s="159"/>
      <c r="D259" s="157" t="s">
        <v>107</v>
      </c>
      <c r="E259" s="199"/>
      <c r="F259" s="199"/>
      <c r="G259" s="42"/>
      <c r="H259" s="160" t="s">
        <v>14</v>
      </c>
      <c r="I259" s="44"/>
      <c r="J259" s="44"/>
      <c r="K259" s="45"/>
      <c r="L259" s="519">
        <f ca="1">IFERROR(__xludf.DUMMYFUNCTION("IMPORTRANGE(""https://docs.google.com/spreadsheets/d/1eHaY18a8A9IcSdp1K8H6x8fbOy06t2VsZHhMHf-1x7Y/edit?usp=sharing"",""แผน!BE82"")"),0)</f>
        <v>0</v>
      </c>
      <c r="M259" s="45"/>
      <c r="N259" s="566">
        <v>0</v>
      </c>
      <c r="O259" s="45"/>
      <c r="P259" s="45"/>
      <c r="Q259" s="45"/>
      <c r="R259" s="45"/>
      <c r="S259" s="45"/>
      <c r="T259" s="45"/>
      <c r="U259" s="45"/>
    </row>
    <row r="260" spans="1:21" ht="19.5" hidden="1" x14ac:dyDescent="0.3">
      <c r="A260" s="138"/>
      <c r="B260" s="139"/>
      <c r="C260" s="590" t="s">
        <v>18</v>
      </c>
      <c r="D260" s="591" t="s">
        <v>38</v>
      </c>
      <c r="E260" s="141"/>
      <c r="F260" s="141"/>
      <c r="G260" s="142"/>
      <c r="H260" s="143"/>
      <c r="I260" s="135"/>
      <c r="J260" s="44"/>
      <c r="K260" s="45"/>
      <c r="L260" s="522"/>
      <c r="M260" s="45"/>
      <c r="N260" s="45"/>
      <c r="O260" s="136"/>
      <c r="P260" s="136"/>
      <c r="Q260" s="45"/>
      <c r="R260" s="45"/>
      <c r="S260" s="45"/>
      <c r="T260" s="136"/>
      <c r="U260" s="136"/>
    </row>
    <row r="261" spans="1:21" ht="18.75" hidden="1" x14ac:dyDescent="0.25">
      <c r="A261" s="138"/>
      <c r="B261" s="139"/>
      <c r="C261" s="139"/>
      <c r="D261" s="192" t="s">
        <v>108</v>
      </c>
      <c r="E261" s="169"/>
      <c r="F261" s="169"/>
      <c r="G261" s="143"/>
      <c r="H261" s="596" t="s">
        <v>35</v>
      </c>
      <c r="I261" s="340">
        <f ca="1">IFERROR(__xludf.DUMMYFUNCTION("IMPORTRANGE(""https://docs.google.com/spreadsheets/d/1eHaY18a8A9IcSdp1K8H6x8fbOy06t2VsZHhMHf-1x7Y/edit?usp=sharing"",""แผน!BH82"")"),0)</f>
        <v>0</v>
      </c>
      <c r="J261" s="555">
        <v>0</v>
      </c>
      <c r="K261" s="48">
        <f ca="1">IF(I261&gt;0,J261*100/I261,0)</f>
        <v>0</v>
      </c>
      <c r="L261" s="522"/>
      <c r="M261" s="45"/>
      <c r="N261" s="45"/>
      <c r="O261" s="45"/>
      <c r="P261" s="45"/>
      <c r="Q261" s="45"/>
      <c r="R261" s="45"/>
      <c r="S261" s="45"/>
      <c r="T261" s="45"/>
      <c r="U261" s="45"/>
    </row>
    <row r="262" spans="1:21" ht="18.75" hidden="1" x14ac:dyDescent="0.25">
      <c r="A262" s="138"/>
      <c r="B262" s="139"/>
      <c r="C262" s="139"/>
      <c r="D262" s="597" t="s">
        <v>43</v>
      </c>
      <c r="E262" s="169"/>
      <c r="F262" s="169"/>
      <c r="G262" s="143"/>
      <c r="H262" s="143"/>
      <c r="I262" s="44"/>
      <c r="J262" s="44"/>
      <c r="K262" s="45"/>
      <c r="L262" s="522"/>
      <c r="M262" s="45"/>
      <c r="N262" s="45"/>
      <c r="O262" s="136"/>
      <c r="P262" s="136"/>
      <c r="Q262" s="45"/>
      <c r="R262" s="45"/>
      <c r="S262" s="45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98" t="s">
        <v>109</v>
      </c>
      <c r="F263" s="169"/>
      <c r="G263" s="143"/>
      <c r="H263" s="596" t="s">
        <v>35</v>
      </c>
      <c r="I263" s="44"/>
      <c r="J263" s="555">
        <v>0</v>
      </c>
      <c r="K263" s="48">
        <f t="shared" ref="K263:K264" si="160">IF(I263&gt;0,J263*100/I263,0)</f>
        <v>0</v>
      </c>
      <c r="L263" s="522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8.75" hidden="1" x14ac:dyDescent="0.25">
      <c r="A264" s="138"/>
      <c r="B264" s="139"/>
      <c r="C264" s="139"/>
      <c r="D264" s="139"/>
      <c r="E264" s="598" t="s">
        <v>110</v>
      </c>
      <c r="F264" s="169"/>
      <c r="G264" s="143"/>
      <c r="H264" s="596" t="s">
        <v>61</v>
      </c>
      <c r="I264" s="44"/>
      <c r="J264" s="555">
        <v>0</v>
      </c>
      <c r="K264" s="48">
        <f t="shared" si="160"/>
        <v>0</v>
      </c>
      <c r="L264" s="522"/>
      <c r="M264" s="45"/>
      <c r="N264" s="45"/>
      <c r="O264" s="45"/>
      <c r="P264" s="45"/>
      <c r="Q264" s="45"/>
      <c r="R264" s="45"/>
      <c r="S264" s="45"/>
      <c r="T264" s="45"/>
      <c r="U264" s="45"/>
    </row>
    <row r="265" spans="1:21" ht="19.5" x14ac:dyDescent="0.3">
      <c r="A265" s="600" t="s">
        <v>113</v>
      </c>
      <c r="B265" s="601"/>
      <c r="C265" s="601"/>
      <c r="D265" s="602"/>
      <c r="E265" s="602"/>
      <c r="F265" s="602"/>
      <c r="G265" s="603"/>
      <c r="H265" s="603"/>
      <c r="I265" s="604"/>
      <c r="J265" s="604"/>
      <c r="K265" s="605"/>
      <c r="L265" s="559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607"/>
      <c r="B266" s="608" t="s">
        <v>114</v>
      </c>
      <c r="C266" s="609"/>
      <c r="D266" s="610"/>
      <c r="E266" s="610"/>
      <c r="F266" s="610"/>
      <c r="G266" s="611"/>
      <c r="H266" s="612" t="s">
        <v>35</v>
      </c>
      <c r="I266" s="613">
        <f t="shared" ref="I266:J266" ca="1" si="161">I277</f>
        <v>22</v>
      </c>
      <c r="J266" s="613">
        <f t="shared" si="161"/>
        <v>0</v>
      </c>
      <c r="K266" s="614">
        <f ca="1">IF(I266&gt;0,J266*100/I266,0)</f>
        <v>0</v>
      </c>
      <c r="L266" s="560"/>
      <c r="M266" s="223"/>
      <c r="N266" s="223"/>
      <c r="O266" s="223"/>
      <c r="P266" s="223"/>
      <c r="Q266" s="223"/>
      <c r="R266" s="223"/>
      <c r="S266" s="223"/>
      <c r="T266" s="223"/>
      <c r="U266" s="223"/>
    </row>
    <row r="267" spans="1:21" ht="19.5" x14ac:dyDescent="0.3">
      <c r="A267" s="617"/>
      <c r="B267" s="618"/>
      <c r="C267" s="619" t="s">
        <v>18</v>
      </c>
      <c r="D267" s="620" t="s">
        <v>19</v>
      </c>
      <c r="E267" s="618"/>
      <c r="F267" s="618"/>
      <c r="G267" s="621"/>
      <c r="H267" s="622" t="s">
        <v>14</v>
      </c>
      <c r="I267" s="623"/>
      <c r="J267" s="623"/>
      <c r="K267" s="624"/>
      <c r="L267" s="545">
        <f t="shared" ref="L267:N267" ca="1" si="162">L268+L269</f>
        <v>0</v>
      </c>
      <c r="M267" s="132">
        <f t="shared" ca="1" si="162"/>
        <v>22320</v>
      </c>
      <c r="N267" s="132">
        <f t="shared" ca="1" si="162"/>
        <v>17320</v>
      </c>
      <c r="O267" s="132">
        <f t="shared" ref="O267:O275" ca="1" si="163">IF(L267&gt;0,N267*100/L267,0)</f>
        <v>0</v>
      </c>
      <c r="P267" s="132">
        <f t="shared" ref="P267:P275" ca="1" si="164">IF(M267&gt;0,N267*100/M267,0)</f>
        <v>77.598566308243733</v>
      </c>
      <c r="Q267" s="132">
        <f t="shared" ref="Q267:S267" ca="1" si="165">Q268+Q269</f>
        <v>50660</v>
      </c>
      <c r="R267" s="132">
        <f t="shared" ca="1" si="165"/>
        <v>50660</v>
      </c>
      <c r="S267" s="132">
        <f t="shared" ca="1" si="165"/>
        <v>0</v>
      </c>
      <c r="T267" s="132">
        <f t="shared" ref="T267:T275" ca="1" si="166">IF(Q267&gt;0,S267*100/Q267,0)</f>
        <v>0</v>
      </c>
      <c r="U267" s="132">
        <f t="shared" ref="U267:U275" ca="1" si="167">IF(R267&gt;0,S267*100/R267,0)</f>
        <v>0</v>
      </c>
    </row>
    <row r="268" spans="1:21" ht="18.75" hidden="1" x14ac:dyDescent="0.25">
      <c r="A268" s="575"/>
      <c r="B268" s="576"/>
      <c r="C268" s="576"/>
      <c r="D268" s="576"/>
      <c r="E268" s="157" t="s">
        <v>20</v>
      </c>
      <c r="F268" s="576"/>
      <c r="G268" s="579"/>
      <c r="H268" s="158" t="s">
        <v>14</v>
      </c>
      <c r="I268" s="586"/>
      <c r="J268" s="586"/>
      <c r="K268" s="587"/>
      <c r="L268" s="521">
        <f t="shared" ref="L268:N269" si="168">L271+L274</f>
        <v>0</v>
      </c>
      <c r="M268" s="48">
        <f t="shared" si="168"/>
        <v>0</v>
      </c>
      <c r="N268" s="48">
        <f t="shared" si="168"/>
        <v>0</v>
      </c>
      <c r="O268" s="48">
        <f t="shared" si="163"/>
        <v>0</v>
      </c>
      <c r="P268" s="48">
        <f t="shared" si="164"/>
        <v>0</v>
      </c>
      <c r="Q268" s="48">
        <f t="shared" ref="Q268:S269" si="169">Q271+Q274</f>
        <v>0</v>
      </c>
      <c r="R268" s="48">
        <f t="shared" si="169"/>
        <v>0</v>
      </c>
      <c r="S268" s="48">
        <f t="shared" si="169"/>
        <v>0</v>
      </c>
      <c r="T268" s="48">
        <f t="shared" si="166"/>
        <v>0</v>
      </c>
      <c r="U268" s="48">
        <f t="shared" si="167"/>
        <v>0</v>
      </c>
    </row>
    <row r="269" spans="1:21" ht="18.75" hidden="1" x14ac:dyDescent="0.25">
      <c r="A269" s="617"/>
      <c r="B269" s="618"/>
      <c r="C269" s="618"/>
      <c r="D269" s="618"/>
      <c r="E269" s="627" t="s">
        <v>21</v>
      </c>
      <c r="F269" s="618"/>
      <c r="G269" s="621"/>
      <c r="H269" s="628" t="s">
        <v>14</v>
      </c>
      <c r="I269" s="623"/>
      <c r="J269" s="623"/>
      <c r="K269" s="624"/>
      <c r="L269" s="519">
        <f t="shared" ca="1" si="168"/>
        <v>0</v>
      </c>
      <c r="M269" s="46">
        <f t="shared" ca="1" si="168"/>
        <v>22320</v>
      </c>
      <c r="N269" s="46">
        <f t="shared" ca="1" si="168"/>
        <v>17320</v>
      </c>
      <c r="O269" s="46">
        <f t="shared" ca="1" si="163"/>
        <v>0</v>
      </c>
      <c r="P269" s="46">
        <f t="shared" ca="1" si="164"/>
        <v>77.598566308243733</v>
      </c>
      <c r="Q269" s="46">
        <f t="shared" ca="1" si="169"/>
        <v>50660</v>
      </c>
      <c r="R269" s="46">
        <f t="shared" ca="1" si="169"/>
        <v>50660</v>
      </c>
      <c r="S269" s="46">
        <f t="shared" ca="1" si="169"/>
        <v>0</v>
      </c>
      <c r="T269" s="46">
        <f t="shared" ca="1" si="166"/>
        <v>0</v>
      </c>
      <c r="U269" s="46">
        <f t="shared" ca="1" si="167"/>
        <v>0</v>
      </c>
    </row>
    <row r="270" spans="1:21" ht="18.75" x14ac:dyDescent="0.25">
      <c r="A270" s="617"/>
      <c r="B270" s="618"/>
      <c r="C270" s="618"/>
      <c r="D270" s="631" t="s">
        <v>22</v>
      </c>
      <c r="E270" s="618"/>
      <c r="F270" s="618"/>
      <c r="G270" s="621"/>
      <c r="H270" s="632" t="s">
        <v>14</v>
      </c>
      <c r="I270" s="633"/>
      <c r="J270" s="633"/>
      <c r="K270" s="634"/>
      <c r="L270" s="519">
        <f t="shared" ref="L270:N270" ca="1" si="170">L271+L272</f>
        <v>0</v>
      </c>
      <c r="M270" s="46">
        <f t="shared" ca="1" si="170"/>
        <v>22320</v>
      </c>
      <c r="N270" s="46">
        <f t="shared" ca="1" si="170"/>
        <v>17320</v>
      </c>
      <c r="O270" s="46">
        <f t="shared" ca="1" si="163"/>
        <v>0</v>
      </c>
      <c r="P270" s="46">
        <f t="shared" ca="1" si="164"/>
        <v>77.598566308243733</v>
      </c>
      <c r="Q270" s="46">
        <f t="shared" ref="Q270:S270" ca="1" si="171">Q271+Q272</f>
        <v>50660</v>
      </c>
      <c r="R270" s="46">
        <f t="shared" ca="1" si="171"/>
        <v>50660</v>
      </c>
      <c r="S270" s="46">
        <f t="shared" ca="1" si="171"/>
        <v>0</v>
      </c>
      <c r="T270" s="46">
        <f t="shared" ca="1" si="166"/>
        <v>0</v>
      </c>
      <c r="U270" s="46">
        <f t="shared" ca="1" si="167"/>
        <v>0</v>
      </c>
    </row>
    <row r="271" spans="1:21" ht="18.75" hidden="1" x14ac:dyDescent="0.25">
      <c r="A271" s="575"/>
      <c r="B271" s="576"/>
      <c r="C271" s="576"/>
      <c r="D271" s="576"/>
      <c r="E271" s="157" t="s">
        <v>36</v>
      </c>
      <c r="F271" s="576"/>
      <c r="G271" s="579"/>
      <c r="H271" s="160" t="s">
        <v>14</v>
      </c>
      <c r="I271" s="580"/>
      <c r="J271" s="580"/>
      <c r="K271" s="581"/>
      <c r="L271" s="521">
        <v>0</v>
      </c>
      <c r="M271" s="48">
        <v>0</v>
      </c>
      <c r="N271" s="48">
        <v>0</v>
      </c>
      <c r="O271" s="48">
        <f t="shared" si="163"/>
        <v>0</v>
      </c>
      <c r="P271" s="48">
        <f t="shared" si="164"/>
        <v>0</v>
      </c>
      <c r="Q271" s="48">
        <v>0</v>
      </c>
      <c r="R271" s="48">
        <v>0</v>
      </c>
      <c r="S271" s="48">
        <v>0</v>
      </c>
      <c r="T271" s="48">
        <f t="shared" si="166"/>
        <v>0</v>
      </c>
      <c r="U271" s="48">
        <f t="shared" si="167"/>
        <v>0</v>
      </c>
    </row>
    <row r="272" spans="1:21" ht="18.75" hidden="1" x14ac:dyDescent="0.25">
      <c r="A272" s="617"/>
      <c r="B272" s="618"/>
      <c r="C272" s="618"/>
      <c r="D272" s="618"/>
      <c r="E272" s="627" t="s">
        <v>37</v>
      </c>
      <c r="F272" s="618"/>
      <c r="G272" s="621"/>
      <c r="H272" s="632" t="s">
        <v>14</v>
      </c>
      <c r="I272" s="633"/>
      <c r="J272" s="633"/>
      <c r="K272" s="634"/>
      <c r="L272" s="519">
        <f ca="1">IFERROR(__xludf.DUMMYFUNCTION("IMPORTRANGE(""https://docs.google.com/spreadsheets/d/1-uDff_7J0KD5mKrp0Vvzr7lt3OU09vwQwhkpOPPYv2Y/edit?usp=sharing"",""งบพรบ!DE82"")"),0)</f>
        <v>0</v>
      </c>
      <c r="M272" s="46">
        <f ca="1">IFERROR(__xludf.DUMMYFUNCTION("IMPORTRANGE(""https://docs.google.com/spreadsheets/d/1-uDff_7J0KD5mKrp0Vvzr7lt3OU09vwQwhkpOPPYv2Y/edit?usp=sharing"",""งบพรบ!DJ82"")"),22320)</f>
        <v>22320</v>
      </c>
      <c r="N272" s="46">
        <f ca="1">IFERROR(__xludf.DUMMYFUNCTION("IMPORTRANGE(""https://docs.google.com/spreadsheets/d/1-uDff_7J0KD5mKrp0Vvzr7lt3OU09vwQwhkpOPPYv2Y/edit?usp=sharing"",""งบพรบ!DL82"")"),17320)</f>
        <v>17320</v>
      </c>
      <c r="O272" s="46">
        <f t="shared" ca="1" si="163"/>
        <v>0</v>
      </c>
      <c r="P272" s="46">
        <f t="shared" ca="1" si="164"/>
        <v>77.598566308243733</v>
      </c>
      <c r="Q272" s="46">
        <f ca="1">IFERROR(__xludf.DUMMYFUNCTION("IMPORTRANGE(""https://docs.google.com/spreadsheets/d/1ItG2mGa2ceCfYo0BwxsXqNm01IGEUdYcSSLTEv9YCik/edit?usp=sharing"",""เบิกจ่ายกองทุน!AJ82"")"),50660)</f>
        <v>50660</v>
      </c>
      <c r="R272" s="46">
        <f ca="1">IFERROR(__xludf.DUMMYFUNCTION("IMPORTRANGE(""https://docs.google.com/spreadsheets/d/1ItG2mGa2ceCfYo0BwxsXqNm01IGEUdYcSSLTEv9YCik/edit?usp=sharing"",""เบิกจ่ายกองทุน!AK82"")"),50660)</f>
        <v>50660</v>
      </c>
      <c r="S272" s="46">
        <f ca="1">IFERROR(__xludf.DUMMYFUNCTION("IMPORTRANGE(""https://docs.google.com/spreadsheets/d/1ItG2mGa2ceCfYo0BwxsXqNm01IGEUdYcSSLTEv9YCik/edit?usp=sharing"",""เบิกจ่ายกองทุน!AL82"")"),0)</f>
        <v>0</v>
      </c>
      <c r="T272" s="46">
        <f t="shared" ca="1" si="166"/>
        <v>0</v>
      </c>
      <c r="U272" s="46">
        <f t="shared" ca="1" si="167"/>
        <v>0</v>
      </c>
    </row>
    <row r="273" spans="1:21" ht="18.75" x14ac:dyDescent="0.25">
      <c r="A273" s="617"/>
      <c r="B273" s="618"/>
      <c r="C273" s="618"/>
      <c r="D273" s="631" t="s">
        <v>23</v>
      </c>
      <c r="E273" s="618"/>
      <c r="F273" s="618"/>
      <c r="G273" s="621"/>
      <c r="H273" s="635" t="s">
        <v>14</v>
      </c>
      <c r="I273" s="633"/>
      <c r="J273" s="633"/>
      <c r="K273" s="634"/>
      <c r="L273" s="519">
        <f t="shared" ref="L273:N273" ca="1" si="172">L274+L275</f>
        <v>0</v>
      </c>
      <c r="M273" s="46">
        <f t="shared" ca="1" si="172"/>
        <v>0</v>
      </c>
      <c r="N273" s="46">
        <f t="shared" ca="1" si="172"/>
        <v>0</v>
      </c>
      <c r="O273" s="46">
        <f t="shared" ca="1" si="163"/>
        <v>0</v>
      </c>
      <c r="P273" s="46">
        <f t="shared" ca="1" si="164"/>
        <v>0</v>
      </c>
      <c r="Q273" s="46">
        <f t="shared" ref="Q273:S273" si="173">Q274+Q275</f>
        <v>0</v>
      </c>
      <c r="R273" s="46">
        <f t="shared" si="173"/>
        <v>0</v>
      </c>
      <c r="S273" s="46">
        <f t="shared" si="173"/>
        <v>0</v>
      </c>
      <c r="T273" s="46">
        <f t="shared" si="166"/>
        <v>0</v>
      </c>
      <c r="U273" s="46">
        <f t="shared" si="167"/>
        <v>0</v>
      </c>
    </row>
    <row r="274" spans="1:21" ht="18.75" hidden="1" x14ac:dyDescent="0.25">
      <c r="A274" s="575"/>
      <c r="B274" s="576"/>
      <c r="C274" s="576"/>
      <c r="D274" s="576"/>
      <c r="E274" s="157" t="s">
        <v>20</v>
      </c>
      <c r="F274" s="576"/>
      <c r="G274" s="579"/>
      <c r="H274" s="160" t="s">
        <v>14</v>
      </c>
      <c r="I274" s="580"/>
      <c r="J274" s="580"/>
      <c r="K274" s="581"/>
      <c r="L274" s="521">
        <v>0</v>
      </c>
      <c r="M274" s="48">
        <v>0</v>
      </c>
      <c r="N274" s="48">
        <v>0</v>
      </c>
      <c r="O274" s="48">
        <f t="shared" si="163"/>
        <v>0</v>
      </c>
      <c r="P274" s="48">
        <f t="shared" si="164"/>
        <v>0</v>
      </c>
      <c r="Q274" s="48">
        <v>0</v>
      </c>
      <c r="R274" s="48">
        <v>0</v>
      </c>
      <c r="S274" s="48">
        <v>0</v>
      </c>
      <c r="T274" s="48">
        <f t="shared" si="166"/>
        <v>0</v>
      </c>
      <c r="U274" s="48">
        <f t="shared" si="167"/>
        <v>0</v>
      </c>
    </row>
    <row r="275" spans="1:21" ht="18.75" hidden="1" x14ac:dyDescent="0.25">
      <c r="A275" s="617"/>
      <c r="B275" s="618"/>
      <c r="C275" s="618"/>
      <c r="D275" s="618"/>
      <c r="E275" s="627" t="s">
        <v>21</v>
      </c>
      <c r="F275" s="618"/>
      <c r="G275" s="621"/>
      <c r="H275" s="635" t="s">
        <v>14</v>
      </c>
      <c r="I275" s="633"/>
      <c r="J275" s="633"/>
      <c r="K275" s="634"/>
      <c r="L275" s="519">
        <f ca="1">IFERROR(__xludf.DUMMYFUNCTION("IMPORTRANGE(""https://docs.google.com/spreadsheets/d/1-uDff_7J0KD5mKrp0Vvzr7lt3OU09vwQwhkpOPPYv2Y/edit?usp=sharing"",""งบพรบ!DH82"")"),0)</f>
        <v>0</v>
      </c>
      <c r="M275" s="46">
        <f ca="1">IFERROR(__xludf.DUMMYFUNCTION("IMPORTRANGE(""https://docs.google.com/spreadsheets/d/1-uDff_7J0KD5mKrp0Vvzr7lt3OU09vwQwhkpOPPYv2Y/edit?usp=sharing"",""งบพรบ!DK82"")"),0)</f>
        <v>0</v>
      </c>
      <c r="N275" s="46">
        <f ca="1">IFERROR(__xludf.DUMMYFUNCTION("IMPORTRANGE(""https://docs.google.com/spreadsheets/d/1-uDff_7J0KD5mKrp0Vvzr7lt3OU09vwQwhkpOPPYv2Y/edit?usp=sharing"",""งบพรบ!DM82"")"),0)</f>
        <v>0</v>
      </c>
      <c r="O275" s="46">
        <f t="shared" ca="1" si="163"/>
        <v>0</v>
      </c>
      <c r="P275" s="46">
        <f t="shared" ca="1" si="164"/>
        <v>0</v>
      </c>
      <c r="Q275" s="46">
        <v>0</v>
      </c>
      <c r="R275" s="46">
        <v>0</v>
      </c>
      <c r="S275" s="46">
        <v>0</v>
      </c>
      <c r="T275" s="46">
        <f t="shared" si="166"/>
        <v>0</v>
      </c>
      <c r="U275" s="46">
        <f t="shared" si="167"/>
        <v>0</v>
      </c>
    </row>
    <row r="276" spans="1:21" ht="19.5" x14ac:dyDescent="0.3">
      <c r="A276" s="636"/>
      <c r="B276" s="637"/>
      <c r="C276" s="627" t="s">
        <v>18</v>
      </c>
      <c r="D276" s="638" t="s">
        <v>38</v>
      </c>
      <c r="E276" s="610"/>
      <c r="F276" s="610"/>
      <c r="G276" s="611"/>
      <c r="H276" s="639"/>
      <c r="I276" s="633"/>
      <c r="J276" s="633"/>
      <c r="K276" s="634"/>
      <c r="L276" s="547"/>
      <c r="M276" s="136"/>
      <c r="N276" s="136"/>
      <c r="O276" s="136"/>
      <c r="P276" s="136"/>
      <c r="Q276" s="136"/>
      <c r="R276" s="136"/>
      <c r="S276" s="136"/>
      <c r="T276" s="136"/>
      <c r="U276" s="136"/>
    </row>
    <row r="277" spans="1:21" ht="18.75" x14ac:dyDescent="0.25">
      <c r="A277" s="792"/>
      <c r="B277" s="793"/>
      <c r="C277" s="793"/>
      <c r="D277" s="794" t="s">
        <v>115</v>
      </c>
      <c r="E277" s="795"/>
      <c r="F277" s="795"/>
      <c r="G277" s="796"/>
      <c r="H277" s="797" t="s">
        <v>35</v>
      </c>
      <c r="I277" s="798">
        <f ca="1">IFERROR(__xludf.DUMMYFUNCTION("IMPORTRANGE(""https://docs.google.com/spreadsheets/d/1eHaY18a8A9IcSdp1K8H6x8fbOy06t2VsZHhMHf-1x7Y/edit?usp=sharing"",""แผน!EC82"")"),22)</f>
        <v>22</v>
      </c>
      <c r="J277" s="799">
        <v>0</v>
      </c>
      <c r="K277" s="800">
        <f ca="1">IF(I277&gt;0,J277*100/I277,0)</f>
        <v>0</v>
      </c>
      <c r="L277" s="522"/>
      <c r="M277" s="45"/>
      <c r="N277" s="45"/>
      <c r="O277" s="45"/>
      <c r="P277" s="45"/>
      <c r="Q277" s="45"/>
      <c r="R277" s="45"/>
      <c r="S277" s="45"/>
      <c r="T277" s="45"/>
      <c r="U277" s="45"/>
    </row>
    <row r="278" spans="1:21" ht="18.75" hidden="1" x14ac:dyDescent="0.25">
      <c r="A278" s="772"/>
      <c r="B278" s="773"/>
      <c r="C278" s="773"/>
      <c r="D278" s="648" t="s">
        <v>116</v>
      </c>
      <c r="E278" s="774"/>
      <c r="F278" s="774"/>
      <c r="G278" s="775"/>
      <c r="H278" s="649" t="s">
        <v>35</v>
      </c>
      <c r="I278" s="459">
        <v>0</v>
      </c>
      <c r="J278" s="459">
        <v>0</v>
      </c>
      <c r="K278" s="650">
        <v>0</v>
      </c>
      <c r="L278" s="801"/>
      <c r="M278" s="802"/>
      <c r="N278" s="802"/>
      <c r="O278" s="802"/>
      <c r="P278" s="802"/>
      <c r="Q278" s="802"/>
      <c r="R278" s="802"/>
      <c r="S278" s="802"/>
      <c r="T278" s="802"/>
      <c r="U278" s="802"/>
    </row>
    <row r="279" spans="1:21" ht="19.5" hidden="1" x14ac:dyDescent="0.3">
      <c r="A279" s="280" t="s">
        <v>117</v>
      </c>
      <c r="B279" s="281"/>
      <c r="C279" s="281"/>
      <c r="D279" s="281"/>
      <c r="E279" s="282"/>
      <c r="F279" s="282"/>
      <c r="G279" s="282"/>
      <c r="H279" s="282"/>
      <c r="I279" s="283"/>
      <c r="J279" s="283"/>
      <c r="K279" s="284"/>
      <c r="L279" s="284"/>
      <c r="M279" s="284"/>
      <c r="N279" s="284"/>
      <c r="O279" s="284"/>
      <c r="P279" s="285"/>
      <c r="Q279" s="284"/>
      <c r="R279" s="284"/>
      <c r="S279" s="284"/>
      <c r="T279" s="284"/>
      <c r="U279" s="285"/>
    </row>
    <row r="280" spans="1:21" ht="19.5" hidden="1" x14ac:dyDescent="0.3">
      <c r="A280" s="286" t="s">
        <v>118</v>
      </c>
      <c r="B280" s="287"/>
      <c r="C280" s="288"/>
      <c r="D280" s="287"/>
      <c r="E280" s="287"/>
      <c r="F280" s="287"/>
      <c r="G280" s="287"/>
      <c r="H280" s="287"/>
      <c r="I280" s="289"/>
      <c r="J280" s="290"/>
      <c r="K280" s="291"/>
      <c r="L280" s="652"/>
      <c r="M280" s="291"/>
      <c r="N280" s="291"/>
      <c r="O280" s="291"/>
      <c r="P280" s="291"/>
      <c r="Q280" s="291"/>
      <c r="R280" s="291"/>
      <c r="S280" s="291"/>
      <c r="T280" s="291"/>
      <c r="U280" s="291"/>
    </row>
    <row r="281" spans="1:21" ht="19.5" hidden="1" x14ac:dyDescent="0.3">
      <c r="A281" s="292"/>
      <c r="B281" s="293" t="s">
        <v>119</v>
      </c>
      <c r="C281" s="294"/>
      <c r="D281" s="295"/>
      <c r="E281" s="294"/>
      <c r="F281" s="294"/>
      <c r="G281" s="296"/>
      <c r="H281" s="297" t="s">
        <v>35</v>
      </c>
      <c r="I281" s="298">
        <f t="shared" ref="I281:J281" ca="1" si="174">I294</f>
        <v>0</v>
      </c>
      <c r="J281" s="298">
        <f t="shared" si="174"/>
        <v>0</v>
      </c>
      <c r="K281" s="299">
        <f t="shared" ref="K281:K282" ca="1" si="175">IF(I281&gt;0,J281*100/I281,0)</f>
        <v>0</v>
      </c>
      <c r="L281" s="653"/>
      <c r="M281" s="300"/>
      <c r="N281" s="300"/>
      <c r="O281" s="300"/>
      <c r="P281" s="300"/>
      <c r="Q281" s="300"/>
      <c r="R281" s="300"/>
      <c r="S281" s="300"/>
      <c r="T281" s="300"/>
      <c r="U281" s="300"/>
    </row>
    <row r="282" spans="1:21" ht="19.5" hidden="1" x14ac:dyDescent="0.3">
      <c r="A282" s="292"/>
      <c r="B282" s="294"/>
      <c r="C282" s="294"/>
      <c r="D282" s="295"/>
      <c r="E282" s="294"/>
      <c r="F282" s="294"/>
      <c r="G282" s="296"/>
      <c r="H282" s="297" t="s">
        <v>46</v>
      </c>
      <c r="I282" s="298">
        <f t="shared" ref="I282:J282" ca="1" si="176">I293</f>
        <v>0</v>
      </c>
      <c r="J282" s="298">
        <f t="shared" si="176"/>
        <v>0</v>
      </c>
      <c r="K282" s="299">
        <f t="shared" ca="1" si="175"/>
        <v>0</v>
      </c>
      <c r="L282" s="653"/>
      <c r="M282" s="300"/>
      <c r="N282" s="300"/>
      <c r="O282" s="300"/>
      <c r="P282" s="300"/>
      <c r="Q282" s="300"/>
      <c r="R282" s="300"/>
      <c r="S282" s="300"/>
      <c r="T282" s="300"/>
      <c r="U282" s="300"/>
    </row>
    <row r="283" spans="1:21" ht="19.5" hidden="1" x14ac:dyDescent="0.3">
      <c r="A283" s="128"/>
      <c r="B283" s="199"/>
      <c r="C283" s="198" t="s">
        <v>18</v>
      </c>
      <c r="D283" s="544" t="s">
        <v>19</v>
      </c>
      <c r="E283" s="199"/>
      <c r="F283" s="199"/>
      <c r="G283" s="42"/>
      <c r="H283" s="131" t="s">
        <v>14</v>
      </c>
      <c r="I283" s="44"/>
      <c r="J283" s="44"/>
      <c r="K283" s="45"/>
      <c r="L283" s="545">
        <f t="shared" ref="L283:N283" ca="1" si="177">L284+L285</f>
        <v>0</v>
      </c>
      <c r="M283" s="132">
        <f t="shared" ca="1" si="177"/>
        <v>0</v>
      </c>
      <c r="N283" s="132">
        <f t="shared" ca="1" si="177"/>
        <v>0</v>
      </c>
      <c r="O283" s="132">
        <f t="shared" ref="O283:O291" ca="1" si="178">IF(L283&gt;0,N283*100/L283,0)</f>
        <v>0</v>
      </c>
      <c r="P283" s="132">
        <f t="shared" ref="P283:P291" ca="1" si="179">IF(M283&gt;0,N283*100/M283,0)</f>
        <v>0</v>
      </c>
      <c r="Q283" s="132">
        <f t="shared" ref="Q283:S283" si="180">Q284+Q285</f>
        <v>0</v>
      </c>
      <c r="R283" s="132">
        <f t="shared" si="180"/>
        <v>0</v>
      </c>
      <c r="S283" s="132">
        <f t="shared" si="180"/>
        <v>0</v>
      </c>
      <c r="T283" s="132">
        <f t="shared" ref="T283:T291" si="181">IF(Q283&gt;0,S283*100/Q283,0)</f>
        <v>0</v>
      </c>
      <c r="U283" s="132">
        <f t="shared" ref="U283:U291" si="182">IF(R283&gt;0,S283*100/R283,0)</f>
        <v>0</v>
      </c>
    </row>
    <row r="284" spans="1:21" ht="18.75" hidden="1" x14ac:dyDescent="0.25">
      <c r="A284" s="128"/>
      <c r="B284" s="199"/>
      <c r="C284" s="199"/>
      <c r="D284" s="199"/>
      <c r="E284" s="157" t="s">
        <v>20</v>
      </c>
      <c r="F284" s="199"/>
      <c r="G284" s="42"/>
      <c r="H284" s="158" t="s">
        <v>14</v>
      </c>
      <c r="I284" s="44"/>
      <c r="J284" s="44"/>
      <c r="K284" s="45"/>
      <c r="L284" s="521">
        <f t="shared" ref="L284:N285" si="183">L287+L290</f>
        <v>0</v>
      </c>
      <c r="M284" s="48">
        <f t="shared" si="183"/>
        <v>0</v>
      </c>
      <c r="N284" s="48">
        <f t="shared" si="183"/>
        <v>0</v>
      </c>
      <c r="O284" s="48">
        <f t="shared" si="178"/>
        <v>0</v>
      </c>
      <c r="P284" s="48">
        <f t="shared" si="179"/>
        <v>0</v>
      </c>
      <c r="Q284" s="48">
        <f t="shared" ref="Q284:S285" si="184">Q287+Q290</f>
        <v>0</v>
      </c>
      <c r="R284" s="48">
        <f t="shared" si="184"/>
        <v>0</v>
      </c>
      <c r="S284" s="48">
        <f t="shared" si="184"/>
        <v>0</v>
      </c>
      <c r="T284" s="48">
        <f t="shared" si="181"/>
        <v>0</v>
      </c>
      <c r="U284" s="48">
        <f t="shared" si="182"/>
        <v>0</v>
      </c>
    </row>
    <row r="285" spans="1:21" ht="18.75" hidden="1" x14ac:dyDescent="0.25">
      <c r="A285" s="128"/>
      <c r="B285" s="199"/>
      <c r="C285" s="199"/>
      <c r="D285" s="199"/>
      <c r="E285" s="270" t="s">
        <v>21</v>
      </c>
      <c r="F285" s="199"/>
      <c r="G285" s="42"/>
      <c r="H285" s="133" t="s">
        <v>14</v>
      </c>
      <c r="I285" s="44"/>
      <c r="J285" s="44"/>
      <c r="K285" s="45"/>
      <c r="L285" s="519">
        <f t="shared" ca="1" si="183"/>
        <v>0</v>
      </c>
      <c r="M285" s="46">
        <f t="shared" ca="1" si="183"/>
        <v>0</v>
      </c>
      <c r="N285" s="46">
        <f t="shared" ca="1" si="183"/>
        <v>0</v>
      </c>
      <c r="O285" s="46">
        <f t="shared" ca="1" si="178"/>
        <v>0</v>
      </c>
      <c r="P285" s="46">
        <f t="shared" ca="1" si="179"/>
        <v>0</v>
      </c>
      <c r="Q285" s="46">
        <f t="shared" si="184"/>
        <v>0</v>
      </c>
      <c r="R285" s="46">
        <f t="shared" si="184"/>
        <v>0</v>
      </c>
      <c r="S285" s="46">
        <f t="shared" si="184"/>
        <v>0</v>
      </c>
      <c r="T285" s="46">
        <f t="shared" si="181"/>
        <v>0</v>
      </c>
      <c r="U285" s="46">
        <f t="shared" si="182"/>
        <v>0</v>
      </c>
    </row>
    <row r="286" spans="1:21" ht="18.75" hidden="1" x14ac:dyDescent="0.25">
      <c r="A286" s="128"/>
      <c r="B286" s="199"/>
      <c r="C286" s="199"/>
      <c r="D286" s="41" t="s">
        <v>22</v>
      </c>
      <c r="E286" s="199"/>
      <c r="F286" s="199"/>
      <c r="G286" s="42"/>
      <c r="H286" s="134" t="s">
        <v>14</v>
      </c>
      <c r="I286" s="135"/>
      <c r="J286" s="135"/>
      <c r="K286" s="136"/>
      <c r="L286" s="519">
        <f t="shared" ref="L286:N286" ca="1" si="185">L287+L288</f>
        <v>0</v>
      </c>
      <c r="M286" s="46">
        <f t="shared" ca="1" si="185"/>
        <v>0</v>
      </c>
      <c r="N286" s="46">
        <f t="shared" ca="1" si="185"/>
        <v>0</v>
      </c>
      <c r="O286" s="46">
        <f t="shared" ca="1" si="178"/>
        <v>0</v>
      </c>
      <c r="P286" s="46">
        <f t="shared" ca="1" si="179"/>
        <v>0</v>
      </c>
      <c r="Q286" s="46">
        <f t="shared" ref="Q286:S286" si="186">Q287+Q288</f>
        <v>0</v>
      </c>
      <c r="R286" s="46">
        <f t="shared" si="186"/>
        <v>0</v>
      </c>
      <c r="S286" s="46">
        <f t="shared" si="186"/>
        <v>0</v>
      </c>
      <c r="T286" s="46">
        <f t="shared" si="181"/>
        <v>0</v>
      </c>
      <c r="U286" s="46">
        <f t="shared" si="182"/>
        <v>0</v>
      </c>
    </row>
    <row r="287" spans="1:21" ht="18.75" hidden="1" x14ac:dyDescent="0.25">
      <c r="A287" s="128"/>
      <c r="B287" s="199"/>
      <c r="C287" s="199"/>
      <c r="D287" s="199"/>
      <c r="E287" s="157" t="s">
        <v>36</v>
      </c>
      <c r="F287" s="199"/>
      <c r="G287" s="42"/>
      <c r="H287" s="160" t="s">
        <v>14</v>
      </c>
      <c r="I287" s="135"/>
      <c r="J287" s="135"/>
      <c r="K287" s="136"/>
      <c r="L287" s="521">
        <v>0</v>
      </c>
      <c r="M287" s="48">
        <v>0</v>
      </c>
      <c r="N287" s="48">
        <v>0</v>
      </c>
      <c r="O287" s="48">
        <f t="shared" si="178"/>
        <v>0</v>
      </c>
      <c r="P287" s="48">
        <f t="shared" si="179"/>
        <v>0</v>
      </c>
      <c r="Q287" s="48">
        <v>0</v>
      </c>
      <c r="R287" s="48">
        <v>0</v>
      </c>
      <c r="S287" s="48">
        <v>0</v>
      </c>
      <c r="T287" s="48">
        <f t="shared" si="181"/>
        <v>0</v>
      </c>
      <c r="U287" s="48">
        <f t="shared" si="182"/>
        <v>0</v>
      </c>
    </row>
    <row r="288" spans="1:21" ht="18.75" hidden="1" x14ac:dyDescent="0.25">
      <c r="A288" s="128"/>
      <c r="B288" s="199"/>
      <c r="C288" s="199"/>
      <c r="D288" s="199"/>
      <c r="E288" s="270" t="s">
        <v>37</v>
      </c>
      <c r="F288" s="199"/>
      <c r="G288" s="42"/>
      <c r="H288" s="134" t="s">
        <v>14</v>
      </c>
      <c r="I288" s="135"/>
      <c r="J288" s="135"/>
      <c r="K288" s="136"/>
      <c r="L288" s="519">
        <f ca="1">IFERROR(__xludf.DUMMYFUNCTION("IMPORTRANGE(""https://docs.google.com/spreadsheets/d/1-uDff_7J0KD5mKrp0Vvzr7lt3OU09vwQwhkpOPPYv2Y/edit?usp=sharing"",""งบพรบ!DO82"")"),0)</f>
        <v>0</v>
      </c>
      <c r="M288" s="46">
        <f ca="1">IFERROR(__xludf.DUMMYFUNCTION("IMPORTRANGE(""https://docs.google.com/spreadsheets/d/1-uDff_7J0KD5mKrp0Vvzr7lt3OU09vwQwhkpOPPYv2Y/edit?usp=sharing"",""งบพรบ!DT82"")"),0)</f>
        <v>0</v>
      </c>
      <c r="N288" s="46">
        <f ca="1">IFERROR(__xludf.DUMMYFUNCTION("IMPORTRANGE(""https://docs.google.com/spreadsheets/d/1-uDff_7J0KD5mKrp0Vvzr7lt3OU09vwQwhkpOPPYv2Y/edit?usp=sharing"",""งบพรบ!DV82"")"),0)</f>
        <v>0</v>
      </c>
      <c r="O288" s="46">
        <f t="shared" ca="1" si="178"/>
        <v>0</v>
      </c>
      <c r="P288" s="46">
        <f t="shared" ca="1" si="179"/>
        <v>0</v>
      </c>
      <c r="Q288" s="46">
        <v>0</v>
      </c>
      <c r="R288" s="46">
        <v>0</v>
      </c>
      <c r="S288" s="46">
        <v>0</v>
      </c>
      <c r="T288" s="48">
        <f t="shared" si="181"/>
        <v>0</v>
      </c>
      <c r="U288" s="48">
        <f t="shared" si="182"/>
        <v>0</v>
      </c>
    </row>
    <row r="289" spans="1:21" ht="18.75" hidden="1" x14ac:dyDescent="0.25">
      <c r="A289" s="128"/>
      <c r="B289" s="199"/>
      <c r="C289" s="199"/>
      <c r="D289" s="41" t="s">
        <v>23</v>
      </c>
      <c r="E289" s="199"/>
      <c r="F289" s="199"/>
      <c r="G289" s="42"/>
      <c r="H289" s="137" t="s">
        <v>14</v>
      </c>
      <c r="I289" s="135"/>
      <c r="J289" s="135"/>
      <c r="K289" s="136"/>
      <c r="L289" s="519">
        <f t="shared" ref="L289:N289" ca="1" si="187">L290+L291</f>
        <v>0</v>
      </c>
      <c r="M289" s="46">
        <f t="shared" ca="1" si="187"/>
        <v>0</v>
      </c>
      <c r="N289" s="46">
        <f t="shared" ca="1" si="187"/>
        <v>0</v>
      </c>
      <c r="O289" s="46">
        <f t="shared" ca="1" si="178"/>
        <v>0</v>
      </c>
      <c r="P289" s="46">
        <f t="shared" ca="1" si="179"/>
        <v>0</v>
      </c>
      <c r="Q289" s="46">
        <f t="shared" ref="Q289:S289" si="188">Q290+Q291</f>
        <v>0</v>
      </c>
      <c r="R289" s="46">
        <f t="shared" si="188"/>
        <v>0</v>
      </c>
      <c r="S289" s="46">
        <f t="shared" si="188"/>
        <v>0</v>
      </c>
      <c r="T289" s="46">
        <f t="shared" si="181"/>
        <v>0</v>
      </c>
      <c r="U289" s="46">
        <f t="shared" si="182"/>
        <v>0</v>
      </c>
    </row>
    <row r="290" spans="1:21" ht="18.75" hidden="1" x14ac:dyDescent="0.25">
      <c r="A290" s="128"/>
      <c r="B290" s="199"/>
      <c r="C290" s="199"/>
      <c r="D290" s="199"/>
      <c r="E290" s="157" t="s">
        <v>20</v>
      </c>
      <c r="F290" s="199"/>
      <c r="G290" s="42"/>
      <c r="H290" s="160" t="s">
        <v>14</v>
      </c>
      <c r="I290" s="135"/>
      <c r="J290" s="135"/>
      <c r="K290" s="136"/>
      <c r="L290" s="521">
        <v>0</v>
      </c>
      <c r="M290" s="48">
        <v>0</v>
      </c>
      <c r="N290" s="48">
        <v>0</v>
      </c>
      <c r="O290" s="48">
        <f t="shared" si="178"/>
        <v>0</v>
      </c>
      <c r="P290" s="48">
        <f t="shared" si="179"/>
        <v>0</v>
      </c>
      <c r="Q290" s="48">
        <v>0</v>
      </c>
      <c r="R290" s="48">
        <v>0</v>
      </c>
      <c r="S290" s="48">
        <v>0</v>
      </c>
      <c r="T290" s="48">
        <f t="shared" si="181"/>
        <v>0</v>
      </c>
      <c r="U290" s="48">
        <f t="shared" si="182"/>
        <v>0</v>
      </c>
    </row>
    <row r="291" spans="1:21" ht="18.75" hidden="1" x14ac:dyDescent="0.25">
      <c r="A291" s="128"/>
      <c r="B291" s="199"/>
      <c r="C291" s="199"/>
      <c r="D291" s="199"/>
      <c r="E291" s="270" t="s">
        <v>21</v>
      </c>
      <c r="F291" s="199"/>
      <c r="G291" s="42"/>
      <c r="H291" s="137" t="s">
        <v>14</v>
      </c>
      <c r="I291" s="135"/>
      <c r="J291" s="135"/>
      <c r="K291" s="136"/>
      <c r="L291" s="519">
        <f ca="1">IFERROR(__xludf.DUMMYFUNCTION("IMPORTRANGE(""https://docs.google.com/spreadsheets/d/1-uDff_7J0KD5mKrp0Vvzr7lt3OU09vwQwhkpOPPYv2Y/edit?usp=sharing"",""งบพรบ!DR82"")"),0)</f>
        <v>0</v>
      </c>
      <c r="M291" s="46">
        <f ca="1">IFERROR(__xludf.DUMMYFUNCTION("IMPORTRANGE(""https://docs.google.com/spreadsheets/d/1-uDff_7J0KD5mKrp0Vvzr7lt3OU09vwQwhkpOPPYv2Y/edit?usp=sharing"",""งบพรบ!DU82"")"),0)</f>
        <v>0</v>
      </c>
      <c r="N291" s="46">
        <f ca="1">IFERROR(__xludf.DUMMYFUNCTION("IMPORTRANGE(""https://docs.google.com/spreadsheets/d/1-uDff_7J0KD5mKrp0Vvzr7lt3OU09vwQwhkpOPPYv2Y/edit?usp=sharing"",""งบพรบ!DW82"")"),0)</f>
        <v>0</v>
      </c>
      <c r="O291" s="46">
        <f t="shared" ca="1" si="178"/>
        <v>0</v>
      </c>
      <c r="P291" s="46">
        <f t="shared" ca="1" si="179"/>
        <v>0</v>
      </c>
      <c r="Q291" s="46">
        <v>0</v>
      </c>
      <c r="R291" s="46">
        <v>0</v>
      </c>
      <c r="S291" s="46">
        <v>0</v>
      </c>
      <c r="T291" s="46">
        <f t="shared" si="181"/>
        <v>0</v>
      </c>
      <c r="U291" s="46">
        <f t="shared" si="182"/>
        <v>0</v>
      </c>
    </row>
    <row r="292" spans="1:21" ht="19.5" hidden="1" x14ac:dyDescent="0.3">
      <c r="A292" s="138"/>
      <c r="B292" s="139"/>
      <c r="C292" s="198" t="s">
        <v>18</v>
      </c>
      <c r="D292" s="546" t="s">
        <v>38</v>
      </c>
      <c r="E292" s="141"/>
      <c r="F292" s="141"/>
      <c r="G292" s="142"/>
      <c r="H292" s="143"/>
      <c r="I292" s="135"/>
      <c r="J292" s="135"/>
      <c r="K292" s="136"/>
      <c r="L292" s="547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67" t="s">
        <v>120</v>
      </c>
      <c r="E293" s="139"/>
      <c r="F293" s="169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IFERROR(__xludf.DUMMYFUNCTION("IMPORTRANGE(""https://docs.google.com/spreadsheets/d/1eHaY18a8A9IcSdp1K8H6x8fbOy06t2VsZHhMHf-1x7Y/edit?usp=sharing"",""แผน!EE82"")"),0)</f>
        <v>0</v>
      </c>
      <c r="J293" s="168">
        <v>0</v>
      </c>
      <c r="K293" s="153">
        <f t="shared" ref="K293:K294" ca="1" si="189">IF(I293&gt;0,J293*100/I293,0)</f>
        <v>0</v>
      </c>
      <c r="L293" s="547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67" t="s">
        <v>121</v>
      </c>
      <c r="E294" s="139"/>
      <c r="F294" s="169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IFERROR(__xludf.DUMMYFUNCTION("IMPORTRANGE(""https://docs.google.com/spreadsheets/d/1eHaY18a8A9IcSdp1K8H6x8fbOy06t2VsZHhMHf-1x7Y/edit?usp=sharing"",""แผน!ED82"")"),0)</f>
        <v>0</v>
      </c>
      <c r="J294" s="147">
        <f>J297</f>
        <v>0</v>
      </c>
      <c r="K294" s="148">
        <f t="shared" ca="1" si="189"/>
        <v>0</v>
      </c>
      <c r="L294" s="547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69"/>
      <c r="E295" s="301" t="s">
        <v>122</v>
      </c>
      <c r="F295" s="169"/>
      <c r="G295" s="143"/>
      <c r="H295" s="143"/>
      <c r="I295" s="135"/>
      <c r="J295" s="44"/>
      <c r="K295" s="136"/>
      <c r="L295" s="547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69"/>
      <c r="E296" s="167" t="s">
        <v>123</v>
      </c>
      <c r="F296" s="169"/>
      <c r="G296" s="143"/>
      <c r="H296" s="247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8">
        <v>0</v>
      </c>
      <c r="K296" s="153">
        <f t="shared" ref="K296:K297" ca="1" si="190">IF(I296&gt;0,J296*100/I296,0)</f>
        <v>0</v>
      </c>
      <c r="L296" s="547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69"/>
      <c r="E297" s="167" t="s">
        <v>124</v>
      </c>
      <c r="F297" s="169"/>
      <c r="G297" s="143"/>
      <c r="H297" s="247" t="s">
        <v>35</v>
      </c>
      <c r="I297" s="151">
        <f ca="1">IFERROR(__xludf.DUMMYFUNCTION("IMPORTRANGE(""https://docs.google.com/spreadsheets/d/1eHaY18a8A9IcSdp1K8H6x8fbOy06t2VsZHhMHf-1x7Y/edit?usp=sharing"",""แผน!ED82"")"),0)</f>
        <v>0</v>
      </c>
      <c r="J297" s="168">
        <v>0</v>
      </c>
      <c r="K297" s="153">
        <f t="shared" ca="1" si="190"/>
        <v>0</v>
      </c>
      <c r="L297" s="547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8"/>
      <c r="E298" s="18"/>
      <c r="F298" s="18"/>
      <c r="G298" s="19"/>
      <c r="H298" s="19"/>
      <c r="I298" s="20"/>
      <c r="J298" s="20"/>
      <c r="K298" s="21"/>
      <c r="L298" s="512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163"/>
      <c r="B299" s="164"/>
      <c r="C299" s="164"/>
      <c r="D299" s="18"/>
      <c r="E299" s="18"/>
      <c r="F299" s="18"/>
      <c r="G299" s="19"/>
      <c r="H299" s="19"/>
      <c r="I299" s="20"/>
      <c r="J299" s="20"/>
      <c r="K299" s="21"/>
      <c r="L299" s="512"/>
      <c r="M299" s="21"/>
      <c r="N299" s="21"/>
      <c r="O299" s="21"/>
      <c r="P299" s="21"/>
      <c r="Q299" s="21"/>
      <c r="R299" s="21"/>
      <c r="S299" s="21"/>
      <c r="T299" s="21"/>
      <c r="U299" s="21"/>
    </row>
    <row r="300" spans="1:21" ht="12.75" hidden="1" x14ac:dyDescent="0.2">
      <c r="A300" s="302"/>
      <c r="B300" s="303"/>
      <c r="C300" s="303"/>
      <c r="D300" s="22"/>
      <c r="E300" s="22"/>
      <c r="F300" s="22"/>
      <c r="G300" s="14"/>
      <c r="H300" s="14"/>
      <c r="I300" s="15"/>
      <c r="J300" s="15"/>
      <c r="K300" s="16"/>
      <c r="L300" s="511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9.5" x14ac:dyDescent="0.3">
      <c r="A301" s="304" t="s">
        <v>125</v>
      </c>
      <c r="B301" s="305"/>
      <c r="C301" s="305"/>
      <c r="D301" s="305"/>
      <c r="E301" s="306"/>
      <c r="F301" s="306"/>
      <c r="G301" s="306"/>
      <c r="H301" s="306"/>
      <c r="I301" s="307"/>
      <c r="J301" s="307"/>
      <c r="K301" s="308"/>
      <c r="L301" s="308"/>
      <c r="M301" s="308"/>
      <c r="N301" s="308"/>
      <c r="O301" s="308"/>
      <c r="P301" s="309"/>
      <c r="Q301" s="308"/>
      <c r="R301" s="308"/>
      <c r="S301" s="308"/>
      <c r="T301" s="308"/>
      <c r="U301" s="309"/>
    </row>
    <row r="302" spans="1:21" ht="19.5" x14ac:dyDescent="0.3">
      <c r="A302" s="310" t="s">
        <v>126</v>
      </c>
      <c r="B302" s="311"/>
      <c r="C302" s="311"/>
      <c r="D302" s="312"/>
      <c r="E302" s="312"/>
      <c r="F302" s="312"/>
      <c r="G302" s="313"/>
      <c r="H302" s="313"/>
      <c r="I302" s="314"/>
      <c r="J302" s="314"/>
      <c r="K302" s="315"/>
      <c r="L302" s="654"/>
      <c r="M302" s="315"/>
      <c r="N302" s="315"/>
      <c r="O302" s="315"/>
      <c r="P302" s="315"/>
      <c r="Q302" s="315"/>
      <c r="R302" s="315"/>
      <c r="S302" s="315"/>
      <c r="T302" s="315"/>
      <c r="U302" s="315"/>
    </row>
    <row r="303" spans="1:21" ht="19.5" x14ac:dyDescent="0.3">
      <c r="A303" s="316"/>
      <c r="B303" s="317" t="s">
        <v>127</v>
      </c>
      <c r="C303" s="318"/>
      <c r="D303" s="318"/>
      <c r="E303" s="318"/>
      <c r="F303" s="318"/>
      <c r="G303" s="319"/>
      <c r="H303" s="320" t="s">
        <v>35</v>
      </c>
      <c r="I303" s="321">
        <f t="shared" ref="I303:J303" ca="1" si="191">I315</f>
        <v>15</v>
      </c>
      <c r="J303" s="321">
        <f t="shared" si="191"/>
        <v>0</v>
      </c>
      <c r="K303" s="322">
        <f ca="1">IF(I303&gt;0,J303*100/I303,0)</f>
        <v>0</v>
      </c>
      <c r="L303" s="655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9.5" x14ac:dyDescent="0.3">
      <c r="A304" s="128"/>
      <c r="B304" s="199"/>
      <c r="C304" s="198" t="s">
        <v>18</v>
      </c>
      <c r="D304" s="544" t="s">
        <v>19</v>
      </c>
      <c r="E304" s="199"/>
      <c r="F304" s="199"/>
      <c r="G304" s="42"/>
      <c r="H304" s="131" t="s">
        <v>14</v>
      </c>
      <c r="I304" s="44"/>
      <c r="J304" s="44"/>
      <c r="K304" s="45"/>
      <c r="L304" s="545">
        <f t="shared" ref="L304:N304" ca="1" si="192">L305+L306</f>
        <v>114900</v>
      </c>
      <c r="M304" s="132">
        <f t="shared" ca="1" si="192"/>
        <v>114900</v>
      </c>
      <c r="N304" s="132">
        <f t="shared" ca="1" si="192"/>
        <v>99163.32</v>
      </c>
      <c r="O304" s="132">
        <f t="shared" ref="O304:O312" ca="1" si="193">IF(L304&gt;0,N304*100/L304,0)</f>
        <v>86.304020887728456</v>
      </c>
      <c r="P304" s="132">
        <f t="shared" ref="P304:P312" ca="1" si="194">IF(M304&gt;0,N304*100/M304,0)</f>
        <v>86.304020887728456</v>
      </c>
      <c r="Q304" s="132">
        <f t="shared" ref="Q304:S304" ca="1" si="195">Q305+Q306</f>
        <v>123161.24</v>
      </c>
      <c r="R304" s="132">
        <f t="shared" ca="1" si="195"/>
        <v>123161</v>
      </c>
      <c r="S304" s="132">
        <f t="shared" ca="1" si="195"/>
        <v>0</v>
      </c>
      <c r="T304" s="132">
        <f t="shared" ref="T304:T312" ca="1" si="196">IF(Q304&gt;0,S304*100/Q304,0)</f>
        <v>0</v>
      </c>
      <c r="U304" s="132">
        <f t="shared" ref="U304:U312" ca="1" si="197">IF(R304&gt;0,S304*100/R304,0)</f>
        <v>0</v>
      </c>
    </row>
    <row r="305" spans="1:21" ht="18.75" hidden="1" x14ac:dyDescent="0.25">
      <c r="A305" s="128"/>
      <c r="B305" s="199"/>
      <c r="C305" s="199"/>
      <c r="D305" s="199"/>
      <c r="E305" s="157" t="s">
        <v>20</v>
      </c>
      <c r="F305" s="199"/>
      <c r="G305" s="42"/>
      <c r="H305" s="158" t="s">
        <v>14</v>
      </c>
      <c r="I305" s="44"/>
      <c r="J305" s="44"/>
      <c r="K305" s="45"/>
      <c r="L305" s="521">
        <f t="shared" ref="L305:N306" si="198">L308+L311</f>
        <v>0</v>
      </c>
      <c r="M305" s="48">
        <f t="shared" si="198"/>
        <v>0</v>
      </c>
      <c r="N305" s="48">
        <f t="shared" si="198"/>
        <v>0</v>
      </c>
      <c r="O305" s="48">
        <f t="shared" si="193"/>
        <v>0</v>
      </c>
      <c r="P305" s="48">
        <f t="shared" si="194"/>
        <v>0</v>
      </c>
      <c r="Q305" s="48">
        <f t="shared" ref="Q305:S306" si="199">Q308+Q311</f>
        <v>0</v>
      </c>
      <c r="R305" s="48">
        <f t="shared" si="199"/>
        <v>0</v>
      </c>
      <c r="S305" s="48">
        <f t="shared" si="199"/>
        <v>0</v>
      </c>
      <c r="T305" s="48">
        <f t="shared" si="196"/>
        <v>0</v>
      </c>
      <c r="U305" s="48">
        <f t="shared" si="197"/>
        <v>0</v>
      </c>
    </row>
    <row r="306" spans="1:21" ht="18.75" hidden="1" x14ac:dyDescent="0.25">
      <c r="A306" s="128"/>
      <c r="B306" s="199"/>
      <c r="C306" s="199"/>
      <c r="D306" s="199"/>
      <c r="E306" s="270" t="s">
        <v>21</v>
      </c>
      <c r="F306" s="199"/>
      <c r="G306" s="42"/>
      <c r="H306" s="133" t="s">
        <v>14</v>
      </c>
      <c r="I306" s="44"/>
      <c r="J306" s="44"/>
      <c r="K306" s="45"/>
      <c r="L306" s="519">
        <f t="shared" ca="1" si="198"/>
        <v>114900</v>
      </c>
      <c r="M306" s="46">
        <f t="shared" ca="1" si="198"/>
        <v>114900</v>
      </c>
      <c r="N306" s="46">
        <f t="shared" ca="1" si="198"/>
        <v>99163.32</v>
      </c>
      <c r="O306" s="46">
        <f t="shared" ca="1" si="193"/>
        <v>86.304020887728456</v>
      </c>
      <c r="P306" s="46">
        <f t="shared" ca="1" si="194"/>
        <v>86.304020887728456</v>
      </c>
      <c r="Q306" s="46">
        <f t="shared" ca="1" si="199"/>
        <v>123161.24</v>
      </c>
      <c r="R306" s="46">
        <f t="shared" ca="1" si="199"/>
        <v>123161</v>
      </c>
      <c r="S306" s="46">
        <f t="shared" ca="1" si="199"/>
        <v>0</v>
      </c>
      <c r="T306" s="46">
        <f t="shared" ca="1" si="196"/>
        <v>0</v>
      </c>
      <c r="U306" s="46">
        <f t="shared" ca="1" si="197"/>
        <v>0</v>
      </c>
    </row>
    <row r="307" spans="1:21" ht="18.75" x14ac:dyDescent="0.25">
      <c r="A307" s="128"/>
      <c r="B307" s="199"/>
      <c r="C307" s="199"/>
      <c r="D307" s="41" t="s">
        <v>22</v>
      </c>
      <c r="E307" s="199"/>
      <c r="F307" s="199"/>
      <c r="G307" s="42"/>
      <c r="H307" s="134" t="s">
        <v>14</v>
      </c>
      <c r="I307" s="135"/>
      <c r="J307" s="135"/>
      <c r="K307" s="136"/>
      <c r="L307" s="519">
        <f t="shared" ref="L307:N307" ca="1" si="200">L308+L309</f>
        <v>114900</v>
      </c>
      <c r="M307" s="46">
        <f t="shared" ca="1" si="200"/>
        <v>114900</v>
      </c>
      <c r="N307" s="46">
        <f t="shared" ca="1" si="200"/>
        <v>99163.32</v>
      </c>
      <c r="O307" s="46">
        <f t="shared" ca="1" si="193"/>
        <v>86.304020887728456</v>
      </c>
      <c r="P307" s="46">
        <f t="shared" ca="1" si="194"/>
        <v>86.304020887728456</v>
      </c>
      <c r="Q307" s="46">
        <f t="shared" ref="Q307:S307" ca="1" si="201">Q308+Q309</f>
        <v>123161.24</v>
      </c>
      <c r="R307" s="46">
        <f t="shared" ca="1" si="201"/>
        <v>123161</v>
      </c>
      <c r="S307" s="46">
        <f t="shared" ca="1" si="201"/>
        <v>0</v>
      </c>
      <c r="T307" s="46">
        <f t="shared" ca="1" si="196"/>
        <v>0</v>
      </c>
      <c r="U307" s="46">
        <f t="shared" ca="1" si="197"/>
        <v>0</v>
      </c>
    </row>
    <row r="308" spans="1:21" ht="18.75" hidden="1" x14ac:dyDescent="0.25">
      <c r="A308" s="128"/>
      <c r="B308" s="199"/>
      <c r="C308" s="199"/>
      <c r="D308" s="199"/>
      <c r="E308" s="157" t="s">
        <v>36</v>
      </c>
      <c r="F308" s="199"/>
      <c r="G308" s="42"/>
      <c r="H308" s="160" t="s">
        <v>14</v>
      </c>
      <c r="I308" s="135"/>
      <c r="J308" s="135"/>
      <c r="K308" s="136"/>
      <c r="L308" s="521">
        <v>0</v>
      </c>
      <c r="M308" s="48">
        <v>0</v>
      </c>
      <c r="N308" s="48">
        <v>0</v>
      </c>
      <c r="O308" s="48">
        <f t="shared" si="193"/>
        <v>0</v>
      </c>
      <c r="P308" s="48">
        <f t="shared" si="194"/>
        <v>0</v>
      </c>
      <c r="Q308" s="48">
        <v>0</v>
      </c>
      <c r="R308" s="48">
        <v>0</v>
      </c>
      <c r="S308" s="48">
        <v>0</v>
      </c>
      <c r="T308" s="48">
        <f t="shared" si="196"/>
        <v>0</v>
      </c>
      <c r="U308" s="48">
        <f t="shared" si="197"/>
        <v>0</v>
      </c>
    </row>
    <row r="309" spans="1:21" ht="18.75" hidden="1" x14ac:dyDescent="0.25">
      <c r="A309" s="128"/>
      <c r="B309" s="199"/>
      <c r="C309" s="199"/>
      <c r="D309" s="199"/>
      <c r="E309" s="270" t="s">
        <v>37</v>
      </c>
      <c r="F309" s="199"/>
      <c r="G309" s="42"/>
      <c r="H309" s="134" t="s">
        <v>14</v>
      </c>
      <c r="I309" s="135"/>
      <c r="J309" s="135"/>
      <c r="K309" s="136"/>
      <c r="L309" s="519">
        <f ca="1">IFERROR(__xludf.DUMMYFUNCTION("IMPORTRANGE(""https://docs.google.com/spreadsheets/d/1-uDff_7J0KD5mKrp0Vvzr7lt3OU09vwQwhkpOPPYv2Y/edit?usp=sharing"",""งบพรบ!DY82"")"),114900)</f>
        <v>114900</v>
      </c>
      <c r="M309" s="46">
        <f ca="1">IFERROR(__xludf.DUMMYFUNCTION("IMPORTRANGE(""https://docs.google.com/spreadsheets/d/1-uDff_7J0KD5mKrp0Vvzr7lt3OU09vwQwhkpOPPYv2Y/edit?usp=sharing"",""งบพรบ!ED82"")"),114900)</f>
        <v>114900</v>
      </c>
      <c r="N309" s="46">
        <f ca="1">IFERROR(__xludf.DUMMYFUNCTION("IMPORTRANGE(""https://docs.google.com/spreadsheets/d/1-uDff_7J0KD5mKrp0Vvzr7lt3OU09vwQwhkpOPPYv2Y/edit?usp=sharing"",""งบพรบ!EF82"")"),99163.32)</f>
        <v>99163.32</v>
      </c>
      <c r="O309" s="46">
        <f t="shared" ca="1" si="193"/>
        <v>86.304020887728456</v>
      </c>
      <c r="P309" s="46">
        <f t="shared" ca="1" si="194"/>
        <v>86.304020887728456</v>
      </c>
      <c r="Q309" s="46">
        <f ca="1">IFERROR(__xludf.DUMMYFUNCTION("IMPORTRANGE(""https://docs.google.com/spreadsheets/d/1ItG2mGa2ceCfYo0BwxsXqNm01IGEUdYcSSLTEv9YCik/edit?usp=sharing"",""เบิกจ่ายกองทุน!AP82"")"),123161.24)</f>
        <v>123161.24</v>
      </c>
      <c r="R309" s="46">
        <f ca="1">IFERROR(__xludf.DUMMYFUNCTION("IMPORTRANGE(""https://docs.google.com/spreadsheets/d/1ItG2mGa2ceCfYo0BwxsXqNm01IGEUdYcSSLTEv9YCik/edit?usp=sharing"",""เบิกจ่ายกองทุน!AQ82"")"),123161)</f>
        <v>123161</v>
      </c>
      <c r="S309" s="46">
        <f ca="1">IFERROR(__xludf.DUMMYFUNCTION("IMPORTRANGE(""https://docs.google.com/spreadsheets/d/1ItG2mGa2ceCfYo0BwxsXqNm01IGEUdYcSSLTEv9YCik/edit?usp=sharing"",""เบิกจ่ายกองทุน!AR82"")"),0)</f>
        <v>0</v>
      </c>
      <c r="T309" s="46">
        <f t="shared" ca="1" si="196"/>
        <v>0</v>
      </c>
      <c r="U309" s="46">
        <f t="shared" ca="1" si="197"/>
        <v>0</v>
      </c>
    </row>
    <row r="310" spans="1:21" ht="18.75" x14ac:dyDescent="0.25">
      <c r="A310" s="128"/>
      <c r="B310" s="199"/>
      <c r="C310" s="199"/>
      <c r="D310" s="41" t="s">
        <v>23</v>
      </c>
      <c r="E310" s="199"/>
      <c r="F310" s="199"/>
      <c r="G310" s="42"/>
      <c r="H310" s="137" t="s">
        <v>14</v>
      </c>
      <c r="I310" s="135"/>
      <c r="J310" s="135"/>
      <c r="K310" s="136"/>
      <c r="L310" s="519">
        <f t="shared" ref="L310:N310" ca="1" si="202">L311+L312</f>
        <v>0</v>
      </c>
      <c r="M310" s="46">
        <f t="shared" ca="1" si="202"/>
        <v>0</v>
      </c>
      <c r="N310" s="46">
        <f t="shared" ca="1" si="202"/>
        <v>0</v>
      </c>
      <c r="O310" s="46">
        <f t="shared" ca="1" si="193"/>
        <v>0</v>
      </c>
      <c r="P310" s="46">
        <f t="shared" ca="1" si="194"/>
        <v>0</v>
      </c>
      <c r="Q310" s="46">
        <f t="shared" ref="Q310:S310" si="203">Q311+Q312</f>
        <v>0</v>
      </c>
      <c r="R310" s="46">
        <f t="shared" si="203"/>
        <v>0</v>
      </c>
      <c r="S310" s="46">
        <f t="shared" si="203"/>
        <v>0</v>
      </c>
      <c r="T310" s="46">
        <f t="shared" si="196"/>
        <v>0</v>
      </c>
      <c r="U310" s="46">
        <f t="shared" si="197"/>
        <v>0</v>
      </c>
    </row>
    <row r="311" spans="1:21" ht="18.75" hidden="1" x14ac:dyDescent="0.25">
      <c r="A311" s="128"/>
      <c r="B311" s="199"/>
      <c r="C311" s="199"/>
      <c r="D311" s="199"/>
      <c r="E311" s="157" t="s">
        <v>20</v>
      </c>
      <c r="F311" s="199"/>
      <c r="G311" s="42"/>
      <c r="H311" s="160" t="s">
        <v>14</v>
      </c>
      <c r="I311" s="135"/>
      <c r="J311" s="135"/>
      <c r="K311" s="136"/>
      <c r="L311" s="521">
        <v>0</v>
      </c>
      <c r="M311" s="48">
        <v>0</v>
      </c>
      <c r="N311" s="48">
        <v>0</v>
      </c>
      <c r="O311" s="48">
        <f t="shared" si="193"/>
        <v>0</v>
      </c>
      <c r="P311" s="48">
        <f t="shared" si="194"/>
        <v>0</v>
      </c>
      <c r="Q311" s="48">
        <v>0</v>
      </c>
      <c r="R311" s="48">
        <v>0</v>
      </c>
      <c r="S311" s="48">
        <v>0</v>
      </c>
      <c r="T311" s="48">
        <f t="shared" si="196"/>
        <v>0</v>
      </c>
      <c r="U311" s="48">
        <f t="shared" si="197"/>
        <v>0</v>
      </c>
    </row>
    <row r="312" spans="1:21" ht="18.75" hidden="1" x14ac:dyDescent="0.25">
      <c r="A312" s="128"/>
      <c r="B312" s="199"/>
      <c r="C312" s="199"/>
      <c r="D312" s="199"/>
      <c r="E312" s="270" t="s">
        <v>21</v>
      </c>
      <c r="F312" s="199"/>
      <c r="G312" s="42"/>
      <c r="H312" s="137" t="s">
        <v>14</v>
      </c>
      <c r="I312" s="135"/>
      <c r="J312" s="135"/>
      <c r="K312" s="136"/>
      <c r="L312" s="519">
        <f ca="1">IFERROR(__xludf.DUMMYFUNCTION("IMPORTRANGE(""https://docs.google.com/spreadsheets/d/1-uDff_7J0KD5mKrp0Vvzr7lt3OU09vwQwhkpOPPYv2Y/edit?usp=sharing"",""งบพรบ!EB82"")"),0)</f>
        <v>0</v>
      </c>
      <c r="M312" s="46">
        <f ca="1">IFERROR(__xludf.DUMMYFUNCTION("IMPORTRANGE(""https://docs.google.com/spreadsheets/d/1-uDff_7J0KD5mKrp0Vvzr7lt3OU09vwQwhkpOPPYv2Y/edit?usp=sharing"",""งบพรบ!EE82"")"),0)</f>
        <v>0</v>
      </c>
      <c r="N312" s="46">
        <f ca="1">IFERROR(__xludf.DUMMYFUNCTION("IMPORTRANGE(""https://docs.google.com/spreadsheets/d/1-uDff_7J0KD5mKrp0Vvzr7lt3OU09vwQwhkpOPPYv2Y/edit?usp=sharing"",""งบพรบ!EG82"")"),0)</f>
        <v>0</v>
      </c>
      <c r="O312" s="46">
        <f t="shared" ca="1" si="193"/>
        <v>0</v>
      </c>
      <c r="P312" s="46">
        <f t="shared" ca="1" si="194"/>
        <v>0</v>
      </c>
      <c r="Q312" s="46">
        <v>0</v>
      </c>
      <c r="R312" s="46">
        <v>0</v>
      </c>
      <c r="S312" s="46">
        <v>0</v>
      </c>
      <c r="T312" s="46">
        <f t="shared" si="196"/>
        <v>0</v>
      </c>
      <c r="U312" s="46">
        <f t="shared" si="197"/>
        <v>0</v>
      </c>
    </row>
    <row r="313" spans="1:21" ht="19.5" x14ac:dyDescent="0.3">
      <c r="A313" s="138"/>
      <c r="B313" s="139"/>
      <c r="C313" s="198" t="s">
        <v>18</v>
      </c>
      <c r="D313" s="546" t="s">
        <v>38</v>
      </c>
      <c r="E313" s="141"/>
      <c r="F313" s="141"/>
      <c r="G313" s="142"/>
      <c r="H313" s="143"/>
      <c r="I313" s="44"/>
      <c r="J313" s="44"/>
      <c r="K313" s="45"/>
      <c r="L313" s="522"/>
      <c r="M313" s="45"/>
      <c r="N313" s="45"/>
      <c r="O313" s="45"/>
      <c r="P313" s="45"/>
      <c r="Q313" s="45"/>
      <c r="R313" s="45"/>
      <c r="S313" s="45"/>
      <c r="T313" s="45"/>
      <c r="U313" s="45"/>
    </row>
    <row r="314" spans="1:21" ht="18.75" hidden="1" x14ac:dyDescent="0.25">
      <c r="A314" s="163"/>
      <c r="B314" s="164"/>
      <c r="C314" s="164"/>
      <c r="D314" s="656"/>
      <c r="E314" s="18"/>
      <c r="F314" s="18"/>
      <c r="G314" s="19"/>
      <c r="H314" s="19"/>
      <c r="I314" s="20"/>
      <c r="J314" s="657"/>
      <c r="K314" s="21"/>
      <c r="L314" s="512"/>
      <c r="M314" s="21"/>
      <c r="N314" s="21"/>
      <c r="O314" s="21"/>
      <c r="P314" s="21"/>
      <c r="Q314" s="21"/>
      <c r="R314" s="21"/>
      <c r="S314" s="21"/>
      <c r="T314" s="21"/>
      <c r="U314" s="21"/>
    </row>
    <row r="315" spans="1:21" ht="18.75" x14ac:dyDescent="0.25">
      <c r="A315" s="138"/>
      <c r="B315" s="139"/>
      <c r="C315" s="139"/>
      <c r="D315" s="167" t="s">
        <v>121</v>
      </c>
      <c r="E315" s="169"/>
      <c r="F315" s="169"/>
      <c r="G315" s="143"/>
      <c r="H315" s="247" t="s">
        <v>35</v>
      </c>
      <c r="I315" s="152">
        <f ca="1">IFERROR(__xludf.DUMMYFUNCTION("IMPORTRANGE(""https://docs.google.com/spreadsheets/d/1eHaY18a8A9IcSdp1K8H6x8fbOy06t2VsZHhMHf-1x7Y/edit?usp=sharing"",""แผน!EF82"")"),15)</f>
        <v>15</v>
      </c>
      <c r="J315" s="168">
        <v>0</v>
      </c>
      <c r="K315" s="46">
        <f ca="1">IF(I315&gt;0,J315*100/I315,0)</f>
        <v>0</v>
      </c>
      <c r="L315" s="522"/>
      <c r="M315" s="45"/>
      <c r="N315" s="45"/>
      <c r="O315" s="45"/>
      <c r="P315" s="45"/>
      <c r="Q315" s="45"/>
      <c r="R315" s="45"/>
      <c r="S315" s="45"/>
      <c r="T315" s="45"/>
      <c r="U315" s="45"/>
    </row>
    <row r="316" spans="1:21" ht="18.75" hidden="1" x14ac:dyDescent="0.25">
      <c r="A316" s="163"/>
      <c r="B316" s="164"/>
      <c r="C316" s="164"/>
      <c r="D316" s="656"/>
      <c r="E316" s="18"/>
      <c r="F316" s="18"/>
      <c r="G316" s="19"/>
      <c r="H316" s="658"/>
      <c r="I316" s="657"/>
      <c r="J316" s="657"/>
      <c r="K316" s="659"/>
      <c r="L316" s="51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3"/>
      <c r="B317" s="164"/>
      <c r="C317" s="164"/>
      <c r="D317" s="656"/>
      <c r="E317" s="18"/>
      <c r="F317" s="18"/>
      <c r="G317" s="19"/>
      <c r="H317" s="658"/>
      <c r="I317" s="657"/>
      <c r="J317" s="657"/>
      <c r="K317" s="659"/>
      <c r="L317" s="51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8.75" hidden="1" x14ac:dyDescent="0.25">
      <c r="A318" s="163"/>
      <c r="B318" s="164"/>
      <c r="C318" s="164"/>
      <c r="D318" s="660"/>
      <c r="E318" s="18"/>
      <c r="F318" s="18"/>
      <c r="G318" s="19"/>
      <c r="H318" s="661"/>
      <c r="I318" s="662"/>
      <c r="J318" s="662"/>
      <c r="K318" s="663"/>
      <c r="L318" s="512"/>
      <c r="M318" s="21"/>
      <c r="N318" s="21"/>
      <c r="O318" s="21"/>
      <c r="P318" s="21"/>
      <c r="Q318" s="21"/>
      <c r="R318" s="21"/>
      <c r="S318" s="21"/>
      <c r="T318" s="21"/>
      <c r="U318" s="21"/>
    </row>
    <row r="319" spans="1:21" ht="19.5" hidden="1" x14ac:dyDescent="0.3">
      <c r="A319" s="310" t="s">
        <v>131</v>
      </c>
      <c r="B319" s="311"/>
      <c r="C319" s="311"/>
      <c r="D319" s="312"/>
      <c r="E319" s="311"/>
      <c r="F319" s="311"/>
      <c r="G319" s="311"/>
      <c r="H319" s="312"/>
      <c r="I319" s="314"/>
      <c r="J319" s="314"/>
      <c r="K319" s="315"/>
      <c r="L319" s="654"/>
      <c r="M319" s="315"/>
      <c r="N319" s="315"/>
      <c r="O319" s="315"/>
      <c r="P319" s="315"/>
      <c r="Q319" s="315"/>
      <c r="R319" s="315"/>
      <c r="S319" s="315"/>
      <c r="T319" s="315"/>
      <c r="U319" s="315"/>
    </row>
    <row r="320" spans="1:21" ht="19.5" hidden="1" x14ac:dyDescent="0.3">
      <c r="A320" s="324"/>
      <c r="B320" s="317" t="s">
        <v>132</v>
      </c>
      <c r="C320" s="325"/>
      <c r="D320" s="326"/>
      <c r="E320" s="318"/>
      <c r="F320" s="318"/>
      <c r="G320" s="319"/>
      <c r="H320" s="320" t="s">
        <v>133</v>
      </c>
      <c r="I320" s="321">
        <f t="shared" ref="I320:J320" ca="1" si="204">I331</f>
        <v>0</v>
      </c>
      <c r="J320" s="321">
        <f t="shared" si="204"/>
        <v>0</v>
      </c>
      <c r="K320" s="322">
        <f ca="1">IF(I320&gt;0,J320*100/I320,0)</f>
        <v>0</v>
      </c>
      <c r="L320" s="655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9.5" hidden="1" x14ac:dyDescent="0.3">
      <c r="A321" s="128"/>
      <c r="B321" s="199"/>
      <c r="C321" s="198" t="s">
        <v>18</v>
      </c>
      <c r="D321" s="544" t="s">
        <v>19</v>
      </c>
      <c r="E321" s="199"/>
      <c r="F321" s="199"/>
      <c r="G321" s="42"/>
      <c r="H321" s="131" t="s">
        <v>14</v>
      </c>
      <c r="I321" s="44"/>
      <c r="J321" s="44"/>
      <c r="K321" s="45"/>
      <c r="L321" s="545">
        <f t="shared" ref="L321:N321" ca="1" si="205">L322+L323</f>
        <v>0</v>
      </c>
      <c r="M321" s="132">
        <f t="shared" ca="1" si="205"/>
        <v>0</v>
      </c>
      <c r="N321" s="132">
        <f t="shared" ca="1" si="205"/>
        <v>0</v>
      </c>
      <c r="O321" s="132">
        <f t="shared" ref="O321:O329" ca="1" si="206">IF(L321&gt;0,N321*100/L321,0)</f>
        <v>0</v>
      </c>
      <c r="P321" s="132">
        <f t="shared" ref="P321:P329" ca="1" si="207">IF(M321&gt;0,N321*100/M321,0)</f>
        <v>0</v>
      </c>
      <c r="Q321" s="132">
        <f t="shared" ref="Q321:S321" si="208">Q322+Q323</f>
        <v>0</v>
      </c>
      <c r="R321" s="132">
        <f t="shared" si="208"/>
        <v>0</v>
      </c>
      <c r="S321" s="132">
        <f t="shared" si="208"/>
        <v>0</v>
      </c>
      <c r="T321" s="132">
        <f t="shared" ref="T321:T329" si="209">IF(Q321&gt;0,S321*100/Q321,0)</f>
        <v>0</v>
      </c>
      <c r="U321" s="132">
        <f t="shared" ref="U321:U329" si="210">IF(R321&gt;0,S321*100/R321,0)</f>
        <v>0</v>
      </c>
    </row>
    <row r="322" spans="1:21" ht="18.75" hidden="1" x14ac:dyDescent="0.25">
      <c r="A322" s="128"/>
      <c r="B322" s="199"/>
      <c r="C322" s="199"/>
      <c r="D322" s="199"/>
      <c r="E322" s="157" t="s">
        <v>20</v>
      </c>
      <c r="F322" s="199"/>
      <c r="G322" s="42"/>
      <c r="H322" s="158" t="s">
        <v>14</v>
      </c>
      <c r="I322" s="44"/>
      <c r="J322" s="44"/>
      <c r="K322" s="45"/>
      <c r="L322" s="521">
        <f t="shared" ref="L322:N323" si="211">L325+L328</f>
        <v>0</v>
      </c>
      <c r="M322" s="48">
        <f t="shared" si="211"/>
        <v>0</v>
      </c>
      <c r="N322" s="48">
        <f t="shared" si="211"/>
        <v>0</v>
      </c>
      <c r="O322" s="48">
        <f t="shared" si="206"/>
        <v>0</v>
      </c>
      <c r="P322" s="48">
        <f t="shared" si="207"/>
        <v>0</v>
      </c>
      <c r="Q322" s="48">
        <f t="shared" ref="Q322:S323" si="212">Q325+Q328</f>
        <v>0</v>
      </c>
      <c r="R322" s="48">
        <f t="shared" si="212"/>
        <v>0</v>
      </c>
      <c r="S322" s="48">
        <f t="shared" si="212"/>
        <v>0</v>
      </c>
      <c r="T322" s="48">
        <f t="shared" si="209"/>
        <v>0</v>
      </c>
      <c r="U322" s="48">
        <f t="shared" si="210"/>
        <v>0</v>
      </c>
    </row>
    <row r="323" spans="1:21" ht="18.75" hidden="1" x14ac:dyDescent="0.25">
      <c r="A323" s="128"/>
      <c r="B323" s="199"/>
      <c r="C323" s="199"/>
      <c r="D323" s="199"/>
      <c r="E323" s="270" t="s">
        <v>21</v>
      </c>
      <c r="F323" s="199"/>
      <c r="G323" s="42"/>
      <c r="H323" s="133" t="s">
        <v>14</v>
      </c>
      <c r="I323" s="44"/>
      <c r="J323" s="44"/>
      <c r="K323" s="45"/>
      <c r="L323" s="519">
        <f t="shared" ca="1" si="211"/>
        <v>0</v>
      </c>
      <c r="M323" s="46">
        <f t="shared" ca="1" si="211"/>
        <v>0</v>
      </c>
      <c r="N323" s="46">
        <f t="shared" ca="1" si="211"/>
        <v>0</v>
      </c>
      <c r="O323" s="46">
        <f t="shared" ca="1" si="206"/>
        <v>0</v>
      </c>
      <c r="P323" s="46">
        <f t="shared" ca="1" si="207"/>
        <v>0</v>
      </c>
      <c r="Q323" s="46">
        <f t="shared" si="212"/>
        <v>0</v>
      </c>
      <c r="R323" s="46">
        <f t="shared" si="212"/>
        <v>0</v>
      </c>
      <c r="S323" s="46">
        <f t="shared" si="212"/>
        <v>0</v>
      </c>
      <c r="T323" s="46">
        <f t="shared" si="209"/>
        <v>0</v>
      </c>
      <c r="U323" s="46">
        <f t="shared" si="210"/>
        <v>0</v>
      </c>
    </row>
    <row r="324" spans="1:21" ht="18.75" hidden="1" x14ac:dyDescent="0.25">
      <c r="A324" s="128"/>
      <c r="B324" s="199"/>
      <c r="C324" s="199"/>
      <c r="D324" s="41" t="s">
        <v>22</v>
      </c>
      <c r="E324" s="199"/>
      <c r="F324" s="199"/>
      <c r="G324" s="42"/>
      <c r="H324" s="134" t="s">
        <v>14</v>
      </c>
      <c r="I324" s="135"/>
      <c r="J324" s="135"/>
      <c r="K324" s="136"/>
      <c r="L324" s="519">
        <f t="shared" ref="L324:N324" ca="1" si="213">L325+L326</f>
        <v>0</v>
      </c>
      <c r="M324" s="46">
        <f t="shared" ca="1" si="213"/>
        <v>0</v>
      </c>
      <c r="N324" s="46">
        <f t="shared" ca="1" si="213"/>
        <v>0</v>
      </c>
      <c r="O324" s="46">
        <f t="shared" ca="1" si="206"/>
        <v>0</v>
      </c>
      <c r="P324" s="46">
        <f t="shared" ca="1" si="207"/>
        <v>0</v>
      </c>
      <c r="Q324" s="46">
        <f t="shared" ref="Q324:S324" si="214">Q325+Q326</f>
        <v>0</v>
      </c>
      <c r="R324" s="46">
        <f t="shared" si="214"/>
        <v>0</v>
      </c>
      <c r="S324" s="46">
        <f t="shared" si="214"/>
        <v>0</v>
      </c>
      <c r="T324" s="46">
        <f t="shared" si="209"/>
        <v>0</v>
      </c>
      <c r="U324" s="46">
        <f t="shared" si="210"/>
        <v>0</v>
      </c>
    </row>
    <row r="325" spans="1:21" ht="18.75" hidden="1" x14ac:dyDescent="0.25">
      <c r="A325" s="128"/>
      <c r="B325" s="199"/>
      <c r="C325" s="199"/>
      <c r="D325" s="199"/>
      <c r="E325" s="157" t="s">
        <v>36</v>
      </c>
      <c r="F325" s="199"/>
      <c r="G325" s="42"/>
      <c r="H325" s="160" t="s">
        <v>14</v>
      </c>
      <c r="I325" s="135"/>
      <c r="J325" s="135"/>
      <c r="K325" s="136"/>
      <c r="L325" s="521">
        <v>0</v>
      </c>
      <c r="M325" s="48">
        <v>0</v>
      </c>
      <c r="N325" s="48">
        <v>0</v>
      </c>
      <c r="O325" s="48">
        <f t="shared" si="206"/>
        <v>0</v>
      </c>
      <c r="P325" s="48">
        <f t="shared" si="207"/>
        <v>0</v>
      </c>
      <c r="Q325" s="48">
        <v>0</v>
      </c>
      <c r="R325" s="48">
        <v>0</v>
      </c>
      <c r="S325" s="48">
        <v>0</v>
      </c>
      <c r="T325" s="48">
        <f t="shared" si="209"/>
        <v>0</v>
      </c>
      <c r="U325" s="48">
        <f t="shared" si="210"/>
        <v>0</v>
      </c>
    </row>
    <row r="326" spans="1:21" ht="18.75" hidden="1" x14ac:dyDescent="0.25">
      <c r="A326" s="128"/>
      <c r="B326" s="199"/>
      <c r="C326" s="199"/>
      <c r="D326" s="199"/>
      <c r="E326" s="270" t="s">
        <v>37</v>
      </c>
      <c r="F326" s="199"/>
      <c r="G326" s="42"/>
      <c r="H326" s="134" t="s">
        <v>14</v>
      </c>
      <c r="I326" s="135"/>
      <c r="J326" s="135"/>
      <c r="K326" s="136"/>
      <c r="L326" s="519">
        <f ca="1">IFERROR(__xludf.DUMMYFUNCTION("IMPORTRANGE(""https://docs.google.com/spreadsheets/d/1-uDff_7J0KD5mKrp0Vvzr7lt3OU09vwQwhkpOPPYv2Y/edit?usp=sharing"",""งบพรบ!EI82"")"),0)</f>
        <v>0</v>
      </c>
      <c r="M326" s="46">
        <f ca="1">IFERROR(__xludf.DUMMYFUNCTION("IMPORTRANGE(""https://docs.google.com/spreadsheets/d/1-uDff_7J0KD5mKrp0Vvzr7lt3OU09vwQwhkpOPPYv2Y/edit?usp=sharing"",""งบพรบ!EN82"")"),0)</f>
        <v>0</v>
      </c>
      <c r="N326" s="46">
        <f ca="1">IFERROR(__xludf.DUMMYFUNCTION("IMPORTRANGE(""https://docs.google.com/spreadsheets/d/1-uDff_7J0KD5mKrp0Vvzr7lt3OU09vwQwhkpOPPYv2Y/edit?usp=sharing"",""งบพรบ!EP82"")"),0)</f>
        <v>0</v>
      </c>
      <c r="O326" s="46">
        <f t="shared" ca="1" si="206"/>
        <v>0</v>
      </c>
      <c r="P326" s="46">
        <f t="shared" ca="1" si="207"/>
        <v>0</v>
      </c>
      <c r="Q326" s="46">
        <v>0</v>
      </c>
      <c r="R326" s="46">
        <v>0</v>
      </c>
      <c r="S326" s="46">
        <v>0</v>
      </c>
      <c r="T326" s="46">
        <f t="shared" si="209"/>
        <v>0</v>
      </c>
      <c r="U326" s="46">
        <f t="shared" si="210"/>
        <v>0</v>
      </c>
    </row>
    <row r="327" spans="1:21" ht="18.75" hidden="1" x14ac:dyDescent="0.25">
      <c r="A327" s="128"/>
      <c r="B327" s="199"/>
      <c r="C327" s="199"/>
      <c r="D327" s="41" t="s">
        <v>23</v>
      </c>
      <c r="E327" s="199"/>
      <c r="F327" s="199"/>
      <c r="G327" s="42"/>
      <c r="H327" s="137" t="s">
        <v>14</v>
      </c>
      <c r="I327" s="135"/>
      <c r="J327" s="135"/>
      <c r="K327" s="136"/>
      <c r="L327" s="519">
        <f t="shared" ref="L327:N327" ca="1" si="215">L328+L329</f>
        <v>0</v>
      </c>
      <c r="M327" s="46">
        <f t="shared" ca="1" si="215"/>
        <v>0</v>
      </c>
      <c r="N327" s="46">
        <f t="shared" ca="1" si="215"/>
        <v>0</v>
      </c>
      <c r="O327" s="46">
        <f t="shared" ca="1" si="206"/>
        <v>0</v>
      </c>
      <c r="P327" s="46">
        <f t="shared" ca="1" si="207"/>
        <v>0</v>
      </c>
      <c r="Q327" s="46">
        <f t="shared" ref="Q327:S327" si="216">Q328+Q329</f>
        <v>0</v>
      </c>
      <c r="R327" s="46">
        <f t="shared" si="216"/>
        <v>0</v>
      </c>
      <c r="S327" s="46">
        <f t="shared" si="216"/>
        <v>0</v>
      </c>
      <c r="T327" s="46">
        <f t="shared" si="209"/>
        <v>0</v>
      </c>
      <c r="U327" s="46">
        <f t="shared" si="210"/>
        <v>0</v>
      </c>
    </row>
    <row r="328" spans="1:21" ht="18.75" hidden="1" x14ac:dyDescent="0.25">
      <c r="A328" s="128"/>
      <c r="B328" s="199"/>
      <c r="C328" s="199"/>
      <c r="D328" s="199"/>
      <c r="E328" s="157" t="s">
        <v>20</v>
      </c>
      <c r="F328" s="199"/>
      <c r="G328" s="42"/>
      <c r="H328" s="160" t="s">
        <v>14</v>
      </c>
      <c r="I328" s="135"/>
      <c r="J328" s="135"/>
      <c r="K328" s="136"/>
      <c r="L328" s="521">
        <v>0</v>
      </c>
      <c r="M328" s="48">
        <v>0</v>
      </c>
      <c r="N328" s="48">
        <v>0</v>
      </c>
      <c r="O328" s="48">
        <f t="shared" si="206"/>
        <v>0</v>
      </c>
      <c r="P328" s="48">
        <f t="shared" si="207"/>
        <v>0</v>
      </c>
      <c r="Q328" s="48">
        <v>0</v>
      </c>
      <c r="R328" s="48">
        <v>0</v>
      </c>
      <c r="S328" s="48">
        <v>0</v>
      </c>
      <c r="T328" s="48">
        <f t="shared" si="209"/>
        <v>0</v>
      </c>
      <c r="U328" s="48">
        <f t="shared" si="210"/>
        <v>0</v>
      </c>
    </row>
    <row r="329" spans="1:21" ht="18.75" hidden="1" x14ac:dyDescent="0.25">
      <c r="A329" s="128"/>
      <c r="B329" s="199"/>
      <c r="C329" s="199"/>
      <c r="D329" s="199"/>
      <c r="E329" s="270" t="s">
        <v>21</v>
      </c>
      <c r="F329" s="199"/>
      <c r="G329" s="42"/>
      <c r="H329" s="137" t="s">
        <v>14</v>
      </c>
      <c r="I329" s="135"/>
      <c r="J329" s="135"/>
      <c r="K329" s="136"/>
      <c r="L329" s="519">
        <f ca="1">IFERROR(__xludf.DUMMYFUNCTION("IMPORTRANGE(""https://docs.google.com/spreadsheets/d/1-uDff_7J0KD5mKrp0Vvzr7lt3OU09vwQwhkpOPPYv2Y/edit?usp=sharing"",""งบพรบ!EL82"")"),0)</f>
        <v>0</v>
      </c>
      <c r="M329" s="46">
        <f ca="1">IFERROR(__xludf.DUMMYFUNCTION("IMPORTRANGE(""https://docs.google.com/spreadsheets/d/1-uDff_7J0KD5mKrp0Vvzr7lt3OU09vwQwhkpOPPYv2Y/edit?usp=sharing"",""งบพรบ!EO82"")"),0)</f>
        <v>0</v>
      </c>
      <c r="N329" s="46">
        <f ca="1">IFERROR(__xludf.DUMMYFUNCTION("IMPORTRANGE(""https://docs.google.com/spreadsheets/d/1-uDff_7J0KD5mKrp0Vvzr7lt3OU09vwQwhkpOPPYv2Y/edit?usp=sharing"",""งบพรบ!EQ82"")"),0)</f>
        <v>0</v>
      </c>
      <c r="O329" s="46">
        <f t="shared" ca="1" si="206"/>
        <v>0</v>
      </c>
      <c r="P329" s="46">
        <f t="shared" ca="1" si="207"/>
        <v>0</v>
      </c>
      <c r="Q329" s="46">
        <v>0</v>
      </c>
      <c r="R329" s="46">
        <v>0</v>
      </c>
      <c r="S329" s="46">
        <v>0</v>
      </c>
      <c r="T329" s="46">
        <f t="shared" si="209"/>
        <v>0</v>
      </c>
      <c r="U329" s="46">
        <f t="shared" si="210"/>
        <v>0</v>
      </c>
    </row>
    <row r="330" spans="1:21" ht="19.5" hidden="1" x14ac:dyDescent="0.3">
      <c r="A330" s="138"/>
      <c r="B330" s="139"/>
      <c r="C330" s="198" t="s">
        <v>18</v>
      </c>
      <c r="D330" s="546" t="s">
        <v>38</v>
      </c>
      <c r="E330" s="141"/>
      <c r="F330" s="141"/>
      <c r="G330" s="142"/>
      <c r="H330" s="143"/>
      <c r="I330" s="135"/>
      <c r="J330" s="44"/>
      <c r="K330" s="45"/>
      <c r="L330" s="522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8.75" hidden="1" x14ac:dyDescent="0.25">
      <c r="A331" s="138"/>
      <c r="B331" s="139"/>
      <c r="C331" s="139"/>
      <c r="D331" s="333" t="s">
        <v>134</v>
      </c>
      <c r="E331" s="169"/>
      <c r="F331" s="169"/>
      <c r="G331" s="143"/>
      <c r="H331" s="43" t="s">
        <v>133</v>
      </c>
      <c r="I331" s="152">
        <f ca="1">IFERROR(__xludf.DUMMYFUNCTION("IMPORTRANGE(""https://docs.google.com/spreadsheets/d/1eHaY18a8A9IcSdp1K8H6x8fbOy06t2VsZHhMHf-1x7Y/edit?usp=sharing"",""แผน!EJ82"")"),0)</f>
        <v>0</v>
      </c>
      <c r="J331" s="168">
        <v>0</v>
      </c>
      <c r="K331" s="46">
        <f ca="1">IF(I331&gt;0,J331*100/I331,0)</f>
        <v>0</v>
      </c>
      <c r="L331" s="522"/>
      <c r="M331" s="45"/>
      <c r="N331" s="45"/>
      <c r="O331" s="136"/>
      <c r="P331" s="136"/>
      <c r="Q331" s="45"/>
      <c r="R331" s="45"/>
      <c r="S331" s="45"/>
      <c r="T331" s="136"/>
      <c r="U331" s="136"/>
    </row>
    <row r="332" spans="1:21" ht="19.5" x14ac:dyDescent="0.3">
      <c r="A332" s="310" t="s">
        <v>135</v>
      </c>
      <c r="B332" s="311"/>
      <c r="C332" s="311"/>
      <c r="D332" s="312"/>
      <c r="E332" s="311"/>
      <c r="F332" s="311"/>
      <c r="G332" s="311"/>
      <c r="H332" s="312"/>
      <c r="I332" s="314"/>
      <c r="J332" s="314"/>
      <c r="K332" s="315"/>
      <c r="L332" s="654"/>
      <c r="M332" s="315"/>
      <c r="N332" s="315"/>
      <c r="O332" s="315"/>
      <c r="P332" s="315"/>
      <c r="Q332" s="315"/>
      <c r="R332" s="315"/>
      <c r="S332" s="315"/>
      <c r="T332" s="315"/>
      <c r="U332" s="315"/>
    </row>
    <row r="333" spans="1:21" ht="19.5" x14ac:dyDescent="0.3">
      <c r="A333" s="316"/>
      <c r="B333" s="317" t="s">
        <v>136</v>
      </c>
      <c r="C333" s="326"/>
      <c r="D333" s="318"/>
      <c r="E333" s="318"/>
      <c r="F333" s="318"/>
      <c r="G333" s="319"/>
      <c r="H333" s="320" t="s">
        <v>35</v>
      </c>
      <c r="I333" s="664">
        <f ca="1">I345</f>
        <v>800</v>
      </c>
      <c r="J333" s="665">
        <f ca="1">J345+J348+J349+J350+J354</f>
        <v>2432</v>
      </c>
      <c r="K333" s="666">
        <f ca="1">IF(I333&gt;0,J333*100/I333,0)</f>
        <v>304</v>
      </c>
      <c r="L333" s="655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9.5" x14ac:dyDescent="0.3">
      <c r="A334" s="128"/>
      <c r="B334" s="199"/>
      <c r="C334" s="198" t="s">
        <v>18</v>
      </c>
      <c r="D334" s="544" t="s">
        <v>19</v>
      </c>
      <c r="E334" s="199"/>
      <c r="F334" s="199"/>
      <c r="G334" s="42"/>
      <c r="H334" s="131" t="s">
        <v>14</v>
      </c>
      <c r="I334" s="44"/>
      <c r="J334" s="44"/>
      <c r="K334" s="45"/>
      <c r="L334" s="545">
        <f t="shared" ref="L334:N334" ca="1" si="217">L335+L336</f>
        <v>102000</v>
      </c>
      <c r="M334" s="132">
        <f t="shared" ca="1" si="217"/>
        <v>107000</v>
      </c>
      <c r="N334" s="132">
        <f t="shared" ca="1" si="217"/>
        <v>67400</v>
      </c>
      <c r="O334" s="132">
        <f t="shared" ref="O334:O342" ca="1" si="218">IF(L334&gt;0,N334*100/L334,0)</f>
        <v>66.078431372549019</v>
      </c>
      <c r="P334" s="132">
        <f t="shared" ref="P334:P342" ca="1" si="219">IF(M334&gt;0,N334*100/M334,0)</f>
        <v>62.990654205607477</v>
      </c>
      <c r="Q334" s="132">
        <f t="shared" ref="Q334:S334" si="220">Q335+Q336</f>
        <v>0</v>
      </c>
      <c r="R334" s="132">
        <f t="shared" si="220"/>
        <v>0</v>
      </c>
      <c r="S334" s="132">
        <f t="shared" si="220"/>
        <v>0</v>
      </c>
      <c r="T334" s="132">
        <f t="shared" ref="T334:T342" si="221">IF(Q334&gt;0,S334*100/Q334,0)</f>
        <v>0</v>
      </c>
      <c r="U334" s="132">
        <f t="shared" ref="U334:U342" si="222">IF(R334&gt;0,S334*100/R334,0)</f>
        <v>0</v>
      </c>
    </row>
    <row r="335" spans="1:21" ht="18.75" hidden="1" x14ac:dyDescent="0.25">
      <c r="A335" s="128"/>
      <c r="B335" s="199"/>
      <c r="C335" s="199"/>
      <c r="D335" s="199"/>
      <c r="E335" s="157" t="s">
        <v>20</v>
      </c>
      <c r="F335" s="199"/>
      <c r="G335" s="42"/>
      <c r="H335" s="158" t="s">
        <v>14</v>
      </c>
      <c r="I335" s="44"/>
      <c r="J335" s="44"/>
      <c r="K335" s="45"/>
      <c r="L335" s="521">
        <f t="shared" ref="L335:N336" si="223">L338+L341</f>
        <v>0</v>
      </c>
      <c r="M335" s="48">
        <f t="shared" si="223"/>
        <v>0</v>
      </c>
      <c r="N335" s="48">
        <f t="shared" si="223"/>
        <v>0</v>
      </c>
      <c r="O335" s="48">
        <f t="shared" si="218"/>
        <v>0</v>
      </c>
      <c r="P335" s="48">
        <f t="shared" si="219"/>
        <v>0</v>
      </c>
      <c r="Q335" s="48">
        <f t="shared" ref="Q335:S336" si="224">Q338+Q341</f>
        <v>0</v>
      </c>
      <c r="R335" s="48">
        <f t="shared" si="224"/>
        <v>0</v>
      </c>
      <c r="S335" s="48">
        <f t="shared" si="224"/>
        <v>0</v>
      </c>
      <c r="T335" s="48">
        <f t="shared" si="221"/>
        <v>0</v>
      </c>
      <c r="U335" s="48">
        <f t="shared" si="222"/>
        <v>0</v>
      </c>
    </row>
    <row r="336" spans="1:21" ht="18.75" hidden="1" x14ac:dyDescent="0.25">
      <c r="A336" s="128"/>
      <c r="B336" s="199"/>
      <c r="C336" s="199"/>
      <c r="D336" s="199"/>
      <c r="E336" s="270" t="s">
        <v>21</v>
      </c>
      <c r="F336" s="199"/>
      <c r="G336" s="42"/>
      <c r="H336" s="133" t="s">
        <v>14</v>
      </c>
      <c r="I336" s="44"/>
      <c r="J336" s="44"/>
      <c r="K336" s="45"/>
      <c r="L336" s="519">
        <f t="shared" ca="1" si="223"/>
        <v>102000</v>
      </c>
      <c r="M336" s="46">
        <f t="shared" ca="1" si="223"/>
        <v>107000</v>
      </c>
      <c r="N336" s="46">
        <f t="shared" ca="1" si="223"/>
        <v>67400</v>
      </c>
      <c r="O336" s="46">
        <f t="shared" ca="1" si="218"/>
        <v>66.078431372549019</v>
      </c>
      <c r="P336" s="46">
        <f t="shared" ca="1" si="219"/>
        <v>62.990654205607477</v>
      </c>
      <c r="Q336" s="46">
        <f t="shared" si="224"/>
        <v>0</v>
      </c>
      <c r="R336" s="46">
        <f t="shared" si="224"/>
        <v>0</v>
      </c>
      <c r="S336" s="46">
        <f t="shared" si="224"/>
        <v>0</v>
      </c>
      <c r="T336" s="46">
        <f t="shared" si="221"/>
        <v>0</v>
      </c>
      <c r="U336" s="46">
        <f t="shared" si="222"/>
        <v>0</v>
      </c>
    </row>
    <row r="337" spans="1:21" ht="18.75" x14ac:dyDescent="0.25">
      <c r="A337" s="128"/>
      <c r="B337" s="199"/>
      <c r="C337" s="199"/>
      <c r="D337" s="41" t="s">
        <v>22</v>
      </c>
      <c r="E337" s="199"/>
      <c r="F337" s="199"/>
      <c r="G337" s="42"/>
      <c r="H337" s="134" t="s">
        <v>14</v>
      </c>
      <c r="I337" s="135"/>
      <c r="J337" s="135"/>
      <c r="K337" s="136"/>
      <c r="L337" s="519">
        <f t="shared" ref="L337:N337" ca="1" si="225">L338+L339</f>
        <v>102000</v>
      </c>
      <c r="M337" s="46">
        <f t="shared" ca="1" si="225"/>
        <v>107000</v>
      </c>
      <c r="N337" s="46">
        <f t="shared" ca="1" si="225"/>
        <v>67400</v>
      </c>
      <c r="O337" s="46">
        <f t="shared" ca="1" si="218"/>
        <v>66.078431372549019</v>
      </c>
      <c r="P337" s="46">
        <f t="shared" ca="1" si="219"/>
        <v>62.990654205607477</v>
      </c>
      <c r="Q337" s="46">
        <f t="shared" ref="Q337:S337" si="226">Q338+Q339</f>
        <v>0</v>
      </c>
      <c r="R337" s="46">
        <f t="shared" si="226"/>
        <v>0</v>
      </c>
      <c r="S337" s="46">
        <f t="shared" si="226"/>
        <v>0</v>
      </c>
      <c r="T337" s="46">
        <f t="shared" si="221"/>
        <v>0</v>
      </c>
      <c r="U337" s="46">
        <f t="shared" si="222"/>
        <v>0</v>
      </c>
    </row>
    <row r="338" spans="1:21" ht="18.75" hidden="1" x14ac:dyDescent="0.25">
      <c r="A338" s="128"/>
      <c r="B338" s="199"/>
      <c r="C338" s="199"/>
      <c r="D338" s="199"/>
      <c r="E338" s="157" t="s">
        <v>36</v>
      </c>
      <c r="F338" s="199"/>
      <c r="G338" s="42"/>
      <c r="H338" s="160" t="s">
        <v>14</v>
      </c>
      <c r="I338" s="135"/>
      <c r="J338" s="135"/>
      <c r="K338" s="136"/>
      <c r="L338" s="521">
        <v>0</v>
      </c>
      <c r="M338" s="48">
        <v>0</v>
      </c>
      <c r="N338" s="48">
        <v>0</v>
      </c>
      <c r="O338" s="48">
        <f t="shared" si="218"/>
        <v>0</v>
      </c>
      <c r="P338" s="48">
        <f t="shared" si="219"/>
        <v>0</v>
      </c>
      <c r="Q338" s="48">
        <v>0</v>
      </c>
      <c r="R338" s="48">
        <v>0</v>
      </c>
      <c r="S338" s="48">
        <v>0</v>
      </c>
      <c r="T338" s="48">
        <f t="shared" si="221"/>
        <v>0</v>
      </c>
      <c r="U338" s="48">
        <f t="shared" si="222"/>
        <v>0</v>
      </c>
    </row>
    <row r="339" spans="1:21" ht="18.75" hidden="1" x14ac:dyDescent="0.25">
      <c r="A339" s="128"/>
      <c r="B339" s="199"/>
      <c r="C339" s="199"/>
      <c r="D339" s="199"/>
      <c r="E339" s="270" t="s">
        <v>37</v>
      </c>
      <c r="F339" s="199"/>
      <c r="G339" s="42"/>
      <c r="H339" s="134" t="s">
        <v>14</v>
      </c>
      <c r="I339" s="135"/>
      <c r="J339" s="135"/>
      <c r="K339" s="136"/>
      <c r="L339" s="519">
        <f ca="1">IFERROR(__xludf.DUMMYFUNCTION("IMPORTRANGE(""https://docs.google.com/spreadsheets/d/1-uDff_7J0KD5mKrp0Vvzr7lt3OU09vwQwhkpOPPYv2Y/edit?usp=sharing"",""งบพรบ!ES82"")"),102000)</f>
        <v>102000</v>
      </c>
      <c r="M339" s="46">
        <f ca="1">IFERROR(__xludf.DUMMYFUNCTION("IMPORTRANGE(""https://docs.google.com/spreadsheets/d/1-uDff_7J0KD5mKrp0Vvzr7lt3OU09vwQwhkpOPPYv2Y/edit?usp=sharing"",""งบพรบ!EX82"")"),107000)</f>
        <v>107000</v>
      </c>
      <c r="N339" s="46">
        <f ca="1">IFERROR(__xludf.DUMMYFUNCTION("IMPORTRANGE(""https://docs.google.com/spreadsheets/d/1-uDff_7J0KD5mKrp0Vvzr7lt3OU09vwQwhkpOPPYv2Y/edit?usp=sharing"",""งบพรบ!EZ82"")"),67400)</f>
        <v>67400</v>
      </c>
      <c r="O339" s="46">
        <f t="shared" ca="1" si="218"/>
        <v>66.078431372549019</v>
      </c>
      <c r="P339" s="46">
        <f t="shared" ca="1" si="219"/>
        <v>62.990654205607477</v>
      </c>
      <c r="Q339" s="46">
        <v>0</v>
      </c>
      <c r="R339" s="46">
        <v>0</v>
      </c>
      <c r="S339" s="46">
        <v>0</v>
      </c>
      <c r="T339" s="46">
        <f t="shared" si="221"/>
        <v>0</v>
      </c>
      <c r="U339" s="46">
        <f t="shared" si="222"/>
        <v>0</v>
      </c>
    </row>
    <row r="340" spans="1:21" ht="18.75" x14ac:dyDescent="0.25">
      <c r="A340" s="128"/>
      <c r="B340" s="199"/>
      <c r="C340" s="199"/>
      <c r="D340" s="41" t="s">
        <v>23</v>
      </c>
      <c r="E340" s="199"/>
      <c r="F340" s="199"/>
      <c r="G340" s="42"/>
      <c r="H340" s="137" t="s">
        <v>14</v>
      </c>
      <c r="I340" s="135"/>
      <c r="J340" s="135"/>
      <c r="K340" s="136"/>
      <c r="L340" s="519">
        <f t="shared" ref="L340:N340" ca="1" si="227">L341+L342</f>
        <v>0</v>
      </c>
      <c r="M340" s="46">
        <f t="shared" ca="1" si="227"/>
        <v>0</v>
      </c>
      <c r="N340" s="46">
        <f t="shared" ca="1" si="227"/>
        <v>0</v>
      </c>
      <c r="O340" s="46">
        <f t="shared" ca="1" si="218"/>
        <v>0</v>
      </c>
      <c r="P340" s="46">
        <f t="shared" ca="1" si="219"/>
        <v>0</v>
      </c>
      <c r="Q340" s="46">
        <f t="shared" ref="Q340:S340" si="228">Q341+Q342</f>
        <v>0</v>
      </c>
      <c r="R340" s="46">
        <f t="shared" si="228"/>
        <v>0</v>
      </c>
      <c r="S340" s="46">
        <f t="shared" si="228"/>
        <v>0</v>
      </c>
      <c r="T340" s="46">
        <f t="shared" si="221"/>
        <v>0</v>
      </c>
      <c r="U340" s="46">
        <f t="shared" si="222"/>
        <v>0</v>
      </c>
    </row>
    <row r="341" spans="1:21" ht="18.75" hidden="1" x14ac:dyDescent="0.25">
      <c r="A341" s="128"/>
      <c r="B341" s="199"/>
      <c r="C341" s="199"/>
      <c r="D341" s="199"/>
      <c r="E341" s="157" t="s">
        <v>20</v>
      </c>
      <c r="F341" s="199"/>
      <c r="G341" s="42"/>
      <c r="H341" s="160" t="s">
        <v>14</v>
      </c>
      <c r="I341" s="135"/>
      <c r="J341" s="135"/>
      <c r="K341" s="136"/>
      <c r="L341" s="521">
        <v>0</v>
      </c>
      <c r="M341" s="48">
        <v>0</v>
      </c>
      <c r="N341" s="48">
        <v>0</v>
      </c>
      <c r="O341" s="48">
        <f t="shared" si="218"/>
        <v>0</v>
      </c>
      <c r="P341" s="48">
        <f t="shared" si="219"/>
        <v>0</v>
      </c>
      <c r="Q341" s="48">
        <v>0</v>
      </c>
      <c r="R341" s="48">
        <v>0</v>
      </c>
      <c r="S341" s="48">
        <v>0</v>
      </c>
      <c r="T341" s="48">
        <f t="shared" si="221"/>
        <v>0</v>
      </c>
      <c r="U341" s="48">
        <f t="shared" si="222"/>
        <v>0</v>
      </c>
    </row>
    <row r="342" spans="1:21" ht="18.75" hidden="1" x14ac:dyDescent="0.25">
      <c r="A342" s="128"/>
      <c r="B342" s="199"/>
      <c r="C342" s="199"/>
      <c r="D342" s="199"/>
      <c r="E342" s="270" t="s">
        <v>21</v>
      </c>
      <c r="F342" s="199"/>
      <c r="G342" s="42"/>
      <c r="H342" s="137" t="s">
        <v>14</v>
      </c>
      <c r="I342" s="135"/>
      <c r="J342" s="135"/>
      <c r="K342" s="136"/>
      <c r="L342" s="519">
        <f ca="1">IFERROR(__xludf.DUMMYFUNCTION("IMPORTRANGE(""https://docs.google.com/spreadsheets/d/1-uDff_7J0KD5mKrp0Vvzr7lt3OU09vwQwhkpOPPYv2Y/edit?usp=sharing"",""งบพรบ!EV82"")"),0)</f>
        <v>0</v>
      </c>
      <c r="M342" s="46">
        <f ca="1">IFERROR(__xludf.DUMMYFUNCTION("IMPORTRANGE(""https://docs.google.com/spreadsheets/d/1-uDff_7J0KD5mKrp0Vvzr7lt3OU09vwQwhkpOPPYv2Y/edit?usp=sharing"",""งบพรบ!EY82"")"),0)</f>
        <v>0</v>
      </c>
      <c r="N342" s="46">
        <f ca="1">IFERROR(__xludf.DUMMYFUNCTION("IMPORTRANGE(""https://docs.google.com/spreadsheets/d/1-uDff_7J0KD5mKrp0Vvzr7lt3OU09vwQwhkpOPPYv2Y/edit?usp=sharing"",""งบพรบ!FA82"")"),0)</f>
        <v>0</v>
      </c>
      <c r="O342" s="46">
        <f t="shared" ca="1" si="218"/>
        <v>0</v>
      </c>
      <c r="P342" s="46">
        <f t="shared" ca="1" si="219"/>
        <v>0</v>
      </c>
      <c r="Q342" s="46">
        <v>0</v>
      </c>
      <c r="R342" s="46">
        <v>0</v>
      </c>
      <c r="S342" s="46">
        <v>0</v>
      </c>
      <c r="T342" s="46">
        <f t="shared" si="221"/>
        <v>0</v>
      </c>
      <c r="U342" s="46">
        <f t="shared" si="222"/>
        <v>0</v>
      </c>
    </row>
    <row r="343" spans="1:21" ht="19.5" x14ac:dyDescent="0.3">
      <c r="A343" s="138"/>
      <c r="B343" s="139"/>
      <c r="C343" s="198" t="s">
        <v>18</v>
      </c>
      <c r="D343" s="327" t="s">
        <v>38</v>
      </c>
      <c r="E343" s="141"/>
      <c r="F343" s="141"/>
      <c r="G343" s="142"/>
      <c r="H343" s="42"/>
      <c r="I343" s="44"/>
      <c r="J343" s="44"/>
      <c r="K343" s="45"/>
      <c r="L343" s="522"/>
      <c r="M343" s="45"/>
      <c r="N343" s="45"/>
      <c r="O343" s="136"/>
      <c r="P343" s="136"/>
      <c r="Q343" s="45"/>
      <c r="R343" s="45"/>
      <c r="S343" s="45"/>
      <c r="T343" s="136"/>
      <c r="U343" s="136"/>
    </row>
    <row r="344" spans="1:21" ht="19.5" x14ac:dyDescent="0.3">
      <c r="A344" s="667"/>
      <c r="B344" s="668"/>
      <c r="C344" s="669"/>
      <c r="D344" s="668"/>
      <c r="E344" s="670" t="s">
        <v>137</v>
      </c>
      <c r="F344" s="668"/>
      <c r="G344" s="671"/>
      <c r="H344" s="672" t="s">
        <v>35</v>
      </c>
      <c r="I344" s="673">
        <v>0</v>
      </c>
      <c r="J344" s="673">
        <f ca="1">J345+J348+J349+J350</f>
        <v>1459</v>
      </c>
      <c r="K344" s="674">
        <v>0</v>
      </c>
      <c r="L344" s="562"/>
      <c r="M344" s="237"/>
      <c r="N344" s="237"/>
      <c r="O344" s="237"/>
      <c r="P344" s="237"/>
      <c r="Q344" s="237"/>
      <c r="R344" s="237"/>
      <c r="S344" s="237"/>
      <c r="T344" s="237"/>
      <c r="U344" s="237"/>
    </row>
    <row r="345" spans="1:21" ht="18.75" x14ac:dyDescent="0.25">
      <c r="A345" s="224"/>
      <c r="B345" s="199"/>
      <c r="C345" s="159"/>
      <c r="D345" s="169"/>
      <c r="E345" s="167" t="s">
        <v>138</v>
      </c>
      <c r="F345" s="199"/>
      <c r="G345" s="42"/>
      <c r="H345" s="226" t="s">
        <v>35</v>
      </c>
      <c r="I345" s="152">
        <f ca="1">IFERROR(__xludf.DUMMYFUNCTION("IMPORTRANGE(""https://docs.google.com/spreadsheets/d/1eHaY18a8A9IcSdp1K8H6x8fbOy06t2VsZHhMHf-1x7Y/edit?usp=sharing"",""แผน!EK82"")"),800)</f>
        <v>800</v>
      </c>
      <c r="J345" s="152">
        <f ca="1">IFERROR(__xludf.DUMMYFUNCTION("IMPORTRANGE(""https://docs.google.com/spreadsheets/d/1awYsYK3VOup2i3Pq_Yjnu8DRu_mYwSBnCR2QPthd0rU/edit?usp=sharing"",""ศูนย์ยกเว้นโฉนด!D82"")"),1459)</f>
        <v>1459</v>
      </c>
      <c r="K345" s="46">
        <f ca="1">IF(I345&gt;0,J345*100/I345,0)</f>
        <v>182.375</v>
      </c>
      <c r="L345" s="522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24"/>
      <c r="B346" s="199"/>
      <c r="C346" s="159"/>
      <c r="D346" s="169"/>
      <c r="E346" s="167" t="s">
        <v>139</v>
      </c>
      <c r="F346" s="199"/>
      <c r="G346" s="42"/>
      <c r="H346" s="193"/>
      <c r="I346" s="44"/>
      <c r="J346" s="44"/>
      <c r="K346" s="45"/>
      <c r="L346" s="522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24"/>
      <c r="B347" s="199"/>
      <c r="C347" s="159"/>
      <c r="D347" s="169"/>
      <c r="E347" s="169"/>
      <c r="F347" s="167" t="s">
        <v>140</v>
      </c>
      <c r="G347" s="42"/>
      <c r="H347" s="188" t="s">
        <v>141</v>
      </c>
      <c r="I347" s="152">
        <f ca="1">IFERROR(__xludf.DUMMYFUNCTION("IMPORTRANGE(""https://docs.google.com/spreadsheets/d/1eHaY18a8A9IcSdp1K8H6x8fbOy06t2VsZHhMHf-1x7Y/edit?usp=sharing"",""แผน!EL82"")"),1)</f>
        <v>1</v>
      </c>
      <c r="J347" s="152">
        <f ca="1">IFERROR(__xludf.DUMMYFUNCTION("IMPORTRANGE(""https://docs.google.com/spreadsheets/d/1awYsYK3VOup2i3Pq_Yjnu8DRu_mYwSBnCR2QPthd0rU/edit?usp=sharing"",""ศูนย์รวม!E82"")"),3)</f>
        <v>3</v>
      </c>
      <c r="K347" s="46">
        <f ca="1">IF(I347&gt;0,J347*100/I347,0)</f>
        <v>300</v>
      </c>
      <c r="L347" s="522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24"/>
      <c r="B348" s="199"/>
      <c r="C348" s="159"/>
      <c r="D348" s="169"/>
      <c r="E348" s="169"/>
      <c r="F348" s="167" t="s">
        <v>142</v>
      </c>
      <c r="G348" s="42"/>
      <c r="H348" s="188" t="s">
        <v>35</v>
      </c>
      <c r="I348" s="44"/>
      <c r="J348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8" s="45"/>
      <c r="L348" s="522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24"/>
      <c r="B349" s="199"/>
      <c r="C349" s="159"/>
      <c r="D349" s="169"/>
      <c r="E349" s="167" t="s">
        <v>143</v>
      </c>
      <c r="F349" s="169"/>
      <c r="G349" s="42"/>
      <c r="H349" s="188" t="s">
        <v>35</v>
      </c>
      <c r="I349" s="44"/>
      <c r="J349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9" s="45"/>
      <c r="L349" s="522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8.75" x14ac:dyDescent="0.25">
      <c r="A350" s="224"/>
      <c r="B350" s="199"/>
      <c r="C350" s="159"/>
      <c r="D350" s="139"/>
      <c r="E350" s="167" t="s">
        <v>144</v>
      </c>
      <c r="F350" s="169"/>
      <c r="G350" s="42"/>
      <c r="H350" s="188" t="s">
        <v>35</v>
      </c>
      <c r="I350" s="44"/>
      <c r="J350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50" s="45"/>
      <c r="L350" s="522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6.5" x14ac:dyDescent="0.25">
      <c r="A351" s="159"/>
      <c r="B351" s="199"/>
      <c r="C351" s="159"/>
      <c r="D351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1" s="199"/>
      <c r="F351" s="199"/>
      <c r="G351" s="42"/>
      <c r="H351" s="193"/>
      <c r="I351" s="44"/>
      <c r="J351" s="44"/>
      <c r="K351" s="45"/>
      <c r="L351" s="522"/>
      <c r="M351" s="45"/>
      <c r="N351" s="45"/>
      <c r="O351" s="45"/>
      <c r="P351" s="45"/>
      <c r="Q351" s="45"/>
      <c r="R351" s="45"/>
      <c r="S351" s="45"/>
      <c r="T351" s="45"/>
      <c r="U351" s="45"/>
    </row>
    <row r="352" spans="1:21" ht="19.5" x14ac:dyDescent="0.3">
      <c r="A352" s="229"/>
      <c r="B352" s="232"/>
      <c r="C352" s="230"/>
      <c r="D352" s="232"/>
      <c r="E352" s="675" t="s">
        <v>145</v>
      </c>
      <c r="F352" s="232"/>
      <c r="G352" s="233"/>
      <c r="H352" s="234" t="s">
        <v>35</v>
      </c>
      <c r="I352" s="235">
        <v>0</v>
      </c>
      <c r="J352" s="235">
        <f ca="1">J353+J354</f>
        <v>1886</v>
      </c>
      <c r="K352" s="236">
        <v>0</v>
      </c>
      <c r="L352" s="562"/>
      <c r="M352" s="237"/>
      <c r="N352" s="237"/>
      <c r="O352" s="237"/>
      <c r="P352" s="237"/>
      <c r="Q352" s="237"/>
      <c r="R352" s="237"/>
      <c r="S352" s="237"/>
      <c r="T352" s="237"/>
      <c r="U352" s="237"/>
    </row>
    <row r="353" spans="1:21" ht="18.75" x14ac:dyDescent="0.25">
      <c r="A353" s="159"/>
      <c r="B353" s="199"/>
      <c r="C353" s="159"/>
      <c r="D353" s="169"/>
      <c r="E353" s="167" t="s">
        <v>146</v>
      </c>
      <c r="F353" s="199"/>
      <c r="G353" s="42"/>
      <c r="H353" s="133" t="s">
        <v>35</v>
      </c>
      <c r="I353" s="44"/>
      <c r="J353" s="152">
        <f ca="1">IFERROR(__xludf.DUMMYFUNCTION("IMPORTRANGE(""https://docs.google.com/spreadsheets/d/1awYsYK3VOup2i3Pq_Yjnu8DRu_mYwSBnCR2QPthd0rU/edit?usp=sharing"",""โฉนดM3!G82"")"),913)</f>
        <v>913</v>
      </c>
      <c r="K353" s="45"/>
      <c r="L353" s="522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159"/>
      <c r="B354" s="199"/>
      <c r="C354" s="159"/>
      <c r="D354" s="169"/>
      <c r="E354" s="167" t="s">
        <v>147</v>
      </c>
      <c r="F354" s="199"/>
      <c r="G354" s="42"/>
      <c r="H354" s="133" t="s">
        <v>35</v>
      </c>
      <c r="I354" s="44"/>
      <c r="J354" s="152">
        <f ca="1">IFERROR(__xludf.DUMMYFUNCTION("IMPORTRANGE(""https://docs.google.com/spreadsheets/d/1awYsYK3VOup2i3Pq_Yjnu8DRu_mYwSBnCR2QPthd0rU/edit?usp=sharing"",""โฉนดM3!H82"")"),973)</f>
        <v>973</v>
      </c>
      <c r="K354" s="45"/>
      <c r="L354" s="522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6.5" x14ac:dyDescent="0.25">
      <c r="A355" s="159"/>
      <c r="B355" s="199"/>
      <c r="C355" s="159"/>
      <c r="D355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เม.ย. 67 เวลา 11.37 น.]")</f>
        <v xml:space="preserve"> [ข้อมูลจาก ระบบศูนย์บริการประชาชน ข้อมูล ณ 1 เม.ย. 67 เวลา 11.37 น.]</v>
      </c>
      <c r="E355" s="199"/>
      <c r="F355" s="199"/>
      <c r="G355" s="42"/>
      <c r="H355" s="193"/>
      <c r="I355" s="44"/>
      <c r="J355" s="44"/>
      <c r="K355" s="45"/>
      <c r="L355" s="522"/>
      <c r="M355" s="45"/>
      <c r="N355" s="45"/>
      <c r="O355" s="45"/>
      <c r="P355" s="45"/>
      <c r="Q355" s="45"/>
      <c r="R355" s="45"/>
      <c r="S355" s="45"/>
      <c r="T355" s="45"/>
      <c r="U355" s="45"/>
    </row>
    <row r="356" spans="1:21" ht="19.5" x14ac:dyDescent="0.3">
      <c r="A356" s="316"/>
      <c r="B356" s="317" t="s">
        <v>148</v>
      </c>
      <c r="C356" s="326"/>
      <c r="D356" s="318"/>
      <c r="E356" s="318"/>
      <c r="F356" s="318"/>
      <c r="G356" s="319"/>
      <c r="H356" s="319"/>
      <c r="I356" s="331"/>
      <c r="J356" s="331"/>
      <c r="K356" s="323"/>
      <c r="L356" s="655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9.5" x14ac:dyDescent="0.3">
      <c r="A357" s="128"/>
      <c r="B357" s="199"/>
      <c r="C357" s="198" t="s">
        <v>18</v>
      </c>
      <c r="D357" s="544" t="s">
        <v>19</v>
      </c>
      <c r="E357" s="199"/>
      <c r="F357" s="199"/>
      <c r="G357" s="42"/>
      <c r="H357" s="131" t="s">
        <v>14</v>
      </c>
      <c r="I357" s="44"/>
      <c r="J357" s="44"/>
      <c r="K357" s="45"/>
      <c r="L357" s="545">
        <f t="shared" ref="L357:N357" ca="1" si="229">L358+L359</f>
        <v>241735</v>
      </c>
      <c r="M357" s="132">
        <f t="shared" ca="1" si="229"/>
        <v>241735</v>
      </c>
      <c r="N357" s="132">
        <f t="shared" ca="1" si="229"/>
        <v>129432.26</v>
      </c>
      <c r="O357" s="132">
        <f t="shared" ref="O357:O365" ca="1" si="230">IF(L357&gt;0,N357*100/L357,0)</f>
        <v>53.543036796492025</v>
      </c>
      <c r="P357" s="132">
        <f t="shared" ref="P357:P365" ca="1" si="231">IF(M357&gt;0,N357*100/M357,0)</f>
        <v>53.543036796492025</v>
      </c>
      <c r="Q357" s="132">
        <f t="shared" ref="Q357:S357" si="232">Q358+Q359</f>
        <v>0</v>
      </c>
      <c r="R357" s="132">
        <f t="shared" si="232"/>
        <v>0</v>
      </c>
      <c r="S357" s="132">
        <f t="shared" si="232"/>
        <v>0</v>
      </c>
      <c r="T357" s="132">
        <f t="shared" ref="T357:T365" si="233">IF(Q357&gt;0,S357*100/Q357,0)</f>
        <v>0</v>
      </c>
      <c r="U357" s="132">
        <f t="shared" ref="U357:U365" si="234">IF(R357&gt;0,S357*100/R357,0)</f>
        <v>0</v>
      </c>
    </row>
    <row r="358" spans="1:21" ht="18.75" hidden="1" x14ac:dyDescent="0.25">
      <c r="A358" s="128"/>
      <c r="B358" s="199"/>
      <c r="C358" s="199"/>
      <c r="D358" s="199"/>
      <c r="E358" s="157" t="s">
        <v>20</v>
      </c>
      <c r="F358" s="199"/>
      <c r="G358" s="42"/>
      <c r="H358" s="158" t="s">
        <v>14</v>
      </c>
      <c r="I358" s="44"/>
      <c r="J358" s="44"/>
      <c r="K358" s="45"/>
      <c r="L358" s="521">
        <f t="shared" ref="L358:N359" si="235">L361+L364</f>
        <v>0</v>
      </c>
      <c r="M358" s="48">
        <f t="shared" si="235"/>
        <v>0</v>
      </c>
      <c r="N358" s="48">
        <f t="shared" si="235"/>
        <v>0</v>
      </c>
      <c r="O358" s="48">
        <f t="shared" si="230"/>
        <v>0</v>
      </c>
      <c r="P358" s="48">
        <f t="shared" si="231"/>
        <v>0</v>
      </c>
      <c r="Q358" s="48">
        <f t="shared" ref="Q358:S359" si="236">Q361+Q364</f>
        <v>0</v>
      </c>
      <c r="R358" s="48">
        <f t="shared" si="236"/>
        <v>0</v>
      </c>
      <c r="S358" s="48">
        <f t="shared" si="236"/>
        <v>0</v>
      </c>
      <c r="T358" s="48">
        <f t="shared" si="233"/>
        <v>0</v>
      </c>
      <c r="U358" s="48">
        <f t="shared" si="234"/>
        <v>0</v>
      </c>
    </row>
    <row r="359" spans="1:21" ht="18.75" hidden="1" x14ac:dyDescent="0.25">
      <c r="A359" s="128"/>
      <c r="B359" s="199"/>
      <c r="C359" s="199"/>
      <c r="D359" s="199"/>
      <c r="E359" s="270" t="s">
        <v>21</v>
      </c>
      <c r="F359" s="199"/>
      <c r="G359" s="42"/>
      <c r="H359" s="133" t="s">
        <v>14</v>
      </c>
      <c r="I359" s="44"/>
      <c r="J359" s="44"/>
      <c r="K359" s="45"/>
      <c r="L359" s="519">
        <f t="shared" ca="1" si="235"/>
        <v>241735</v>
      </c>
      <c r="M359" s="46">
        <f t="shared" ca="1" si="235"/>
        <v>241735</v>
      </c>
      <c r="N359" s="46">
        <f t="shared" ca="1" si="235"/>
        <v>129432.26</v>
      </c>
      <c r="O359" s="46">
        <f t="shared" ca="1" si="230"/>
        <v>53.543036796492025</v>
      </c>
      <c r="P359" s="46">
        <f t="shared" ca="1" si="231"/>
        <v>53.543036796492025</v>
      </c>
      <c r="Q359" s="46">
        <f t="shared" si="236"/>
        <v>0</v>
      </c>
      <c r="R359" s="46">
        <f t="shared" si="236"/>
        <v>0</v>
      </c>
      <c r="S359" s="46">
        <f t="shared" si="236"/>
        <v>0</v>
      </c>
      <c r="T359" s="46">
        <f t="shared" si="233"/>
        <v>0</v>
      </c>
      <c r="U359" s="46">
        <f t="shared" si="234"/>
        <v>0</v>
      </c>
    </row>
    <row r="360" spans="1:21" ht="18.75" x14ac:dyDescent="0.25">
      <c r="A360" s="128"/>
      <c r="B360" s="199"/>
      <c r="C360" s="199"/>
      <c r="D360" s="41" t="s">
        <v>22</v>
      </c>
      <c r="E360" s="199"/>
      <c r="F360" s="199"/>
      <c r="G360" s="42"/>
      <c r="H360" s="134" t="s">
        <v>14</v>
      </c>
      <c r="I360" s="135"/>
      <c r="J360" s="135"/>
      <c r="K360" s="136"/>
      <c r="L360" s="519">
        <f t="shared" ref="L360:N360" ca="1" si="237">L361+L362</f>
        <v>241735</v>
      </c>
      <c r="M360" s="46">
        <f t="shared" ca="1" si="237"/>
        <v>241735</v>
      </c>
      <c r="N360" s="46">
        <f t="shared" ca="1" si="237"/>
        <v>129432.26</v>
      </c>
      <c r="O360" s="46">
        <f t="shared" ca="1" si="230"/>
        <v>53.543036796492025</v>
      </c>
      <c r="P360" s="46">
        <f t="shared" ca="1" si="231"/>
        <v>53.543036796492025</v>
      </c>
      <c r="Q360" s="46">
        <f t="shared" ref="Q360:S360" si="238">Q361+Q362</f>
        <v>0</v>
      </c>
      <c r="R360" s="46">
        <f t="shared" si="238"/>
        <v>0</v>
      </c>
      <c r="S360" s="46">
        <f t="shared" si="238"/>
        <v>0</v>
      </c>
      <c r="T360" s="46">
        <f t="shared" si="233"/>
        <v>0</v>
      </c>
      <c r="U360" s="46">
        <f t="shared" si="234"/>
        <v>0</v>
      </c>
    </row>
    <row r="361" spans="1:21" ht="18.75" hidden="1" x14ac:dyDescent="0.25">
      <c r="A361" s="128"/>
      <c r="B361" s="199"/>
      <c r="C361" s="199"/>
      <c r="D361" s="199"/>
      <c r="E361" s="157" t="s">
        <v>36</v>
      </c>
      <c r="F361" s="199"/>
      <c r="G361" s="42"/>
      <c r="H361" s="160" t="s">
        <v>14</v>
      </c>
      <c r="I361" s="135"/>
      <c r="J361" s="135"/>
      <c r="K361" s="136"/>
      <c r="L361" s="521">
        <v>0</v>
      </c>
      <c r="M361" s="48">
        <v>0</v>
      </c>
      <c r="N361" s="48">
        <v>0</v>
      </c>
      <c r="O361" s="48">
        <f t="shared" si="230"/>
        <v>0</v>
      </c>
      <c r="P361" s="48">
        <f t="shared" si="231"/>
        <v>0</v>
      </c>
      <c r="Q361" s="48">
        <v>0</v>
      </c>
      <c r="R361" s="48">
        <v>0</v>
      </c>
      <c r="S361" s="48">
        <v>0</v>
      </c>
      <c r="T361" s="48">
        <f t="shared" si="233"/>
        <v>0</v>
      </c>
      <c r="U361" s="48">
        <f t="shared" si="234"/>
        <v>0</v>
      </c>
    </row>
    <row r="362" spans="1:21" ht="18.75" hidden="1" x14ac:dyDescent="0.25">
      <c r="A362" s="128"/>
      <c r="B362" s="199"/>
      <c r="C362" s="199"/>
      <c r="D362" s="199"/>
      <c r="E362" s="270" t="s">
        <v>37</v>
      </c>
      <c r="F362" s="199"/>
      <c r="G362" s="42"/>
      <c r="H362" s="134" t="s">
        <v>14</v>
      </c>
      <c r="I362" s="135"/>
      <c r="J362" s="135"/>
      <c r="K362" s="136"/>
      <c r="L362" s="519">
        <f ca="1">IFERROR(__xludf.DUMMYFUNCTION("IMPORTRANGE(""https://docs.google.com/spreadsheets/d/1-uDff_7J0KD5mKrp0Vvzr7lt3OU09vwQwhkpOPPYv2Y/edit?usp=sharing"",""งบพรบ!FC82"")"),241735)</f>
        <v>241735</v>
      </c>
      <c r="M362" s="46">
        <f ca="1">IFERROR(__xludf.DUMMYFUNCTION("IMPORTRANGE(""https://docs.google.com/spreadsheets/d/1-uDff_7J0KD5mKrp0Vvzr7lt3OU09vwQwhkpOPPYv2Y/edit?usp=sharing"",""งบพรบ!FH82"")"),241735)</f>
        <v>241735</v>
      </c>
      <c r="N362" s="46">
        <f ca="1">IFERROR(__xludf.DUMMYFUNCTION("IMPORTRANGE(""https://docs.google.com/spreadsheets/d/1-uDff_7J0KD5mKrp0Vvzr7lt3OU09vwQwhkpOPPYv2Y/edit?usp=sharing"",""งบพรบ!FJ82"")"),129432.26)</f>
        <v>129432.26</v>
      </c>
      <c r="O362" s="46">
        <f t="shared" ca="1" si="230"/>
        <v>53.543036796492025</v>
      </c>
      <c r="P362" s="46">
        <f t="shared" ca="1" si="231"/>
        <v>53.543036796492025</v>
      </c>
      <c r="Q362" s="46">
        <v>0</v>
      </c>
      <c r="R362" s="46">
        <v>0</v>
      </c>
      <c r="S362" s="46">
        <v>0</v>
      </c>
      <c r="T362" s="46">
        <f t="shared" si="233"/>
        <v>0</v>
      </c>
      <c r="U362" s="46">
        <f t="shared" si="234"/>
        <v>0</v>
      </c>
    </row>
    <row r="363" spans="1:21" ht="18.75" x14ac:dyDescent="0.25">
      <c r="A363" s="128"/>
      <c r="B363" s="199"/>
      <c r="C363" s="199"/>
      <c r="D363" s="41" t="s">
        <v>23</v>
      </c>
      <c r="E363" s="199"/>
      <c r="F363" s="199"/>
      <c r="G363" s="42"/>
      <c r="H363" s="137" t="s">
        <v>14</v>
      </c>
      <c r="I363" s="135"/>
      <c r="J363" s="135"/>
      <c r="K363" s="136"/>
      <c r="L363" s="519">
        <f t="shared" ref="L363:N363" ca="1" si="239">L364+L365</f>
        <v>0</v>
      </c>
      <c r="M363" s="46">
        <f t="shared" ca="1" si="239"/>
        <v>0</v>
      </c>
      <c r="N363" s="46">
        <f t="shared" ca="1" si="239"/>
        <v>0</v>
      </c>
      <c r="O363" s="46">
        <f t="shared" ca="1" si="230"/>
        <v>0</v>
      </c>
      <c r="P363" s="46">
        <f t="shared" ca="1" si="231"/>
        <v>0</v>
      </c>
      <c r="Q363" s="46">
        <f t="shared" ref="Q363:S363" si="240">Q364+Q365</f>
        <v>0</v>
      </c>
      <c r="R363" s="46">
        <f t="shared" si="240"/>
        <v>0</v>
      </c>
      <c r="S363" s="46">
        <f t="shared" si="240"/>
        <v>0</v>
      </c>
      <c r="T363" s="46">
        <f t="shared" si="233"/>
        <v>0</v>
      </c>
      <c r="U363" s="46">
        <f t="shared" si="234"/>
        <v>0</v>
      </c>
    </row>
    <row r="364" spans="1:21" ht="18.75" hidden="1" x14ac:dyDescent="0.25">
      <c r="A364" s="128"/>
      <c r="B364" s="199"/>
      <c r="C364" s="199"/>
      <c r="D364" s="199"/>
      <c r="E364" s="157" t="s">
        <v>20</v>
      </c>
      <c r="F364" s="199"/>
      <c r="G364" s="42"/>
      <c r="H364" s="160" t="s">
        <v>14</v>
      </c>
      <c r="I364" s="135"/>
      <c r="J364" s="135"/>
      <c r="K364" s="136"/>
      <c r="L364" s="521">
        <v>0</v>
      </c>
      <c r="M364" s="48">
        <v>0</v>
      </c>
      <c r="N364" s="48">
        <v>0</v>
      </c>
      <c r="O364" s="48">
        <f t="shared" si="230"/>
        <v>0</v>
      </c>
      <c r="P364" s="48">
        <f t="shared" si="231"/>
        <v>0</v>
      </c>
      <c r="Q364" s="48">
        <v>0</v>
      </c>
      <c r="R364" s="48">
        <v>0</v>
      </c>
      <c r="S364" s="48">
        <v>0</v>
      </c>
      <c r="T364" s="48">
        <f t="shared" si="233"/>
        <v>0</v>
      </c>
      <c r="U364" s="48">
        <f t="shared" si="234"/>
        <v>0</v>
      </c>
    </row>
    <row r="365" spans="1:21" ht="18.75" hidden="1" x14ac:dyDescent="0.25">
      <c r="A365" s="128"/>
      <c r="B365" s="199"/>
      <c r="C365" s="199"/>
      <c r="D365" s="199"/>
      <c r="E365" s="270" t="s">
        <v>21</v>
      </c>
      <c r="F365" s="199"/>
      <c r="G365" s="42"/>
      <c r="H365" s="137" t="s">
        <v>14</v>
      </c>
      <c r="I365" s="135"/>
      <c r="J365" s="135"/>
      <c r="K365" s="136"/>
      <c r="L365" s="519">
        <f ca="1">IFERROR(__xludf.DUMMYFUNCTION("IMPORTRANGE(""https://docs.google.com/spreadsheets/d/1-uDff_7J0KD5mKrp0Vvzr7lt3OU09vwQwhkpOPPYv2Y/edit?usp=sharing"",""งบพรบ!FF82"")"),0)</f>
        <v>0</v>
      </c>
      <c r="M365" s="46">
        <f ca="1">IFERROR(__xludf.DUMMYFUNCTION("IMPORTRANGE(""https://docs.google.com/spreadsheets/d/1-uDff_7J0KD5mKrp0Vvzr7lt3OU09vwQwhkpOPPYv2Y/edit?usp=sharing"",""งบพรบ!FI82"")"),0)</f>
        <v>0</v>
      </c>
      <c r="N365" s="46">
        <f ca="1">IFERROR(__xludf.DUMMYFUNCTION("IMPORTRANGE(""https://docs.google.com/spreadsheets/d/1-uDff_7J0KD5mKrp0Vvzr7lt3OU09vwQwhkpOPPYv2Y/edit?usp=sharing"",""งบพรบ!FK82"")"),0)</f>
        <v>0</v>
      </c>
      <c r="O365" s="46">
        <f t="shared" ca="1" si="230"/>
        <v>0</v>
      </c>
      <c r="P365" s="46">
        <f t="shared" ca="1" si="231"/>
        <v>0</v>
      </c>
      <c r="Q365" s="46">
        <v>0</v>
      </c>
      <c r="R365" s="46">
        <v>0</v>
      </c>
      <c r="S365" s="46">
        <v>0</v>
      </c>
      <c r="T365" s="46">
        <f t="shared" si="233"/>
        <v>0</v>
      </c>
      <c r="U365" s="46">
        <f t="shared" si="234"/>
        <v>0</v>
      </c>
    </row>
    <row r="366" spans="1:21" ht="19.5" x14ac:dyDescent="0.3">
      <c r="A366" s="229"/>
      <c r="B366" s="230"/>
      <c r="C366" s="232"/>
      <c r="D366" s="675" t="s">
        <v>149</v>
      </c>
      <c r="E366" s="232"/>
      <c r="F366" s="232"/>
      <c r="G366" s="233"/>
      <c r="H366" s="332" t="s">
        <v>35</v>
      </c>
      <c r="I366" s="235">
        <f t="shared" ref="I366:J366" ca="1" si="241">I372</f>
        <v>148</v>
      </c>
      <c r="J366" s="235">
        <f t="shared" ca="1" si="241"/>
        <v>98</v>
      </c>
      <c r="K366" s="236">
        <f ca="1">IF(I366&gt;0,J366*100/I366,0)</f>
        <v>66.21621621621621</v>
      </c>
      <c r="L366" s="562"/>
      <c r="M366" s="237"/>
      <c r="N366" s="237"/>
      <c r="O366" s="237"/>
      <c r="P366" s="237"/>
      <c r="Q366" s="237"/>
      <c r="R366" s="237"/>
      <c r="S366" s="237"/>
      <c r="T366" s="237"/>
      <c r="U366" s="237"/>
    </row>
    <row r="367" spans="1:21" ht="19.5" x14ac:dyDescent="0.3">
      <c r="A367" s="138"/>
      <c r="B367" s="139"/>
      <c r="C367" s="198" t="s">
        <v>18</v>
      </c>
      <c r="D367" s="546" t="s">
        <v>38</v>
      </c>
      <c r="E367" s="141"/>
      <c r="F367" s="141"/>
      <c r="G367" s="142"/>
      <c r="H367" s="143"/>
      <c r="I367" s="44"/>
      <c r="J367" s="44"/>
      <c r="K367" s="45"/>
      <c r="L367" s="547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33" t="s">
        <v>150</v>
      </c>
      <c r="F368" s="169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IFERROR(__xludf.DUMMYFUNCTION("IMPORTRANGE(""https://docs.google.com/spreadsheets/d/1tdoBKaGub7dwA3U6UFTqxio9LNnvDCQjHKmttSEBsFQ/edit?usp=sharing"",""จัดที่ดิน!AB82"")"),42)</f>
        <v>42</v>
      </c>
      <c r="K368" s="46">
        <f t="shared" ref="K368:K373" si="242">IF(I368&gt;0,J368*100/I368,0)</f>
        <v>0</v>
      </c>
      <c r="L368" s="547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IFERROR(__xludf.DUMMYFUNCTION("IMPORTRANGE(""https://docs.google.com/spreadsheets/d/1eHaY18a8A9IcSdp1K8H6x8fbOy06t2VsZHhMHf-1x7Y/edit?usp=sharing"",""แผน!EW82"")"),1150)</f>
        <v>1150</v>
      </c>
      <c r="J369" s="676">
        <f ca="1">IFERROR(__xludf.DUMMYFUNCTION("IMPORTRANGE(""https://docs.google.com/spreadsheets/d/1tdoBKaGub7dwA3U6UFTqxio9LNnvDCQjHKmttSEBsFQ/edit?usp=sharing"",""จัดที่ดิน!AC82"")"),172.83)</f>
        <v>172.83</v>
      </c>
      <c r="K369" s="46">
        <f t="shared" ca="1" si="242"/>
        <v>15.028695652173914</v>
      </c>
      <c r="L369" s="547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33" t="s">
        <v>151</v>
      </c>
      <c r="F370" s="169"/>
      <c r="G370" s="143"/>
      <c r="H370" s="247" t="s">
        <v>35</v>
      </c>
      <c r="I370" s="152">
        <f ca="1">IFERROR(__xludf.DUMMYFUNCTION("IMPORTRANGE(""https://docs.google.com/spreadsheets/d/1eHaY18a8A9IcSdp1K8H6x8fbOy06t2VsZHhMHf-1x7Y/edit?usp=sharing"",""แผน!EX82"")"),220)</f>
        <v>220</v>
      </c>
      <c r="J370" s="152">
        <f ca="1">IFERROR(__xludf.DUMMYFUNCTION("IMPORTRANGE(""https://docs.google.com/spreadsheets/d/1tdoBKaGub7dwA3U6UFTqxio9LNnvDCQjHKmttSEBsFQ/edit?usp=sharing"",""จัดที่ดิน!AD82"")"),123)</f>
        <v>123</v>
      </c>
      <c r="K370" s="46">
        <f t="shared" ca="1" si="242"/>
        <v>55.909090909090907</v>
      </c>
      <c r="L370" s="547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47" t="s">
        <v>46</v>
      </c>
      <c r="I371" s="152">
        <v>0</v>
      </c>
      <c r="J371" s="676">
        <f ca="1">IFERROR(__xludf.DUMMYFUNCTION("IMPORTRANGE(""https://docs.google.com/spreadsheets/d/1tdoBKaGub7dwA3U6UFTqxio9LNnvDCQjHKmttSEBsFQ/edit?usp=sharing"",""จัดที่ดิน!AE82"")"),898.89)</f>
        <v>898.89</v>
      </c>
      <c r="K371" s="46">
        <f t="shared" si="242"/>
        <v>0</v>
      </c>
      <c r="L371" s="547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33" t="s">
        <v>152</v>
      </c>
      <c r="F372" s="169"/>
      <c r="G372" s="143"/>
      <c r="H372" s="247" t="s">
        <v>35</v>
      </c>
      <c r="I372" s="152">
        <f ca="1">IFERROR(__xludf.DUMMYFUNCTION("IMPORTRANGE(""https://docs.google.com/spreadsheets/d/1eHaY18a8A9IcSdp1K8H6x8fbOy06t2VsZHhMHf-1x7Y/edit?usp=sharing"",""แผน!EY82"")"),148)</f>
        <v>148</v>
      </c>
      <c r="J372" s="152">
        <f ca="1">IFERROR(__xludf.DUMMYFUNCTION("IMPORTRANGE(""https://docs.google.com/spreadsheets/d/1tdoBKaGub7dwA3U6UFTqxio9LNnvDCQjHKmttSEBsFQ/edit?usp=sharing"",""จัดที่ดิน!AF82"")"),98)</f>
        <v>98</v>
      </c>
      <c r="K372" s="46">
        <f t="shared" ca="1" si="242"/>
        <v>66.21621621621621</v>
      </c>
      <c r="L372" s="547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47" t="s">
        <v>46</v>
      </c>
      <c r="I373" s="152">
        <v>0</v>
      </c>
      <c r="J373" s="676">
        <f ca="1">IFERROR(__xludf.DUMMYFUNCTION("IMPORTRANGE(""https://docs.google.com/spreadsheets/d/1tdoBKaGub7dwA3U6UFTqxio9LNnvDCQjHKmttSEBsFQ/edit?usp=sharing"",""จัดที่ดิน!AG82"")"),783.5)</f>
        <v>783.5</v>
      </c>
      <c r="K373" s="46">
        <f t="shared" si="242"/>
        <v>0</v>
      </c>
      <c r="L373" s="547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4"/>
      <c r="B374" s="2"/>
      <c r="C374" s="4"/>
      <c r="D374" s="334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เม.ย. 67 เวลา 09.00 น.]")</f>
        <v xml:space="preserve"> [ข้อมูลจาก ระบบ ALRO Land Online ข้อมูล ณ 1 เม.ย. 67 เวลา 09.00 น.]</v>
      </c>
      <c r="E374" s="2"/>
      <c r="F374" s="2"/>
      <c r="G374" s="52"/>
      <c r="H374" s="52"/>
      <c r="I374" s="54"/>
      <c r="J374" s="54"/>
      <c r="K374" s="5"/>
      <c r="L374" s="523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.5" hidden="1" x14ac:dyDescent="0.3">
      <c r="A375" s="677"/>
      <c r="B375" s="678" t="s">
        <v>153</v>
      </c>
      <c r="C375" s="679"/>
      <c r="D375" s="680"/>
      <c r="E375" s="681"/>
      <c r="F375" s="681"/>
      <c r="G375" s="682"/>
      <c r="H375" s="683" t="s">
        <v>46</v>
      </c>
      <c r="I375" s="684">
        <f t="shared" ref="I375:J375" ca="1" si="243">I386</f>
        <v>0</v>
      </c>
      <c r="J375" s="684">
        <f t="shared" si="243"/>
        <v>0</v>
      </c>
      <c r="K375" s="685">
        <f ca="1">IF(I375&gt;0,J375*100/I375,0)</f>
        <v>0</v>
      </c>
      <c r="L375" s="655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9.5" hidden="1" x14ac:dyDescent="0.3">
      <c r="A376" s="128"/>
      <c r="B376" s="159"/>
      <c r="C376" s="351" t="s">
        <v>18</v>
      </c>
      <c r="D376" s="686" t="s">
        <v>19</v>
      </c>
      <c r="E376" s="199"/>
      <c r="F376" s="199"/>
      <c r="G376" s="42"/>
      <c r="H376" s="131" t="s">
        <v>14</v>
      </c>
      <c r="I376" s="44"/>
      <c r="J376" s="44"/>
      <c r="K376" s="45"/>
      <c r="L376" s="545">
        <f t="shared" ref="L376:N376" si="244">L377+L378</f>
        <v>0</v>
      </c>
      <c r="M376" s="132">
        <f t="shared" si="244"/>
        <v>0</v>
      </c>
      <c r="N376" s="132">
        <f t="shared" si="244"/>
        <v>0</v>
      </c>
      <c r="O376" s="132">
        <f t="shared" ref="O376:O384" si="245">IF(L376&gt;0,N376*100/L376,0)</f>
        <v>0</v>
      </c>
      <c r="P376" s="132">
        <f t="shared" ref="P376:P384" si="246">IF(M376&gt;0,N376*100/M376,0)</f>
        <v>0</v>
      </c>
      <c r="Q376" s="132">
        <f t="shared" ref="Q376:S376" ca="1" si="247">Q377+Q378</f>
        <v>0</v>
      </c>
      <c r="R376" s="132">
        <f t="shared" ca="1" si="247"/>
        <v>0</v>
      </c>
      <c r="S376" s="132">
        <f t="shared" ca="1" si="247"/>
        <v>0</v>
      </c>
      <c r="T376" s="132">
        <f t="shared" ref="T376:T384" ca="1" si="248">IF(Q376&gt;0,S376*100/Q376,0)</f>
        <v>0</v>
      </c>
      <c r="U376" s="132">
        <f t="shared" ref="U376:U384" ca="1" si="249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199"/>
      <c r="G377" s="42"/>
      <c r="H377" s="158" t="s">
        <v>14</v>
      </c>
      <c r="I377" s="44"/>
      <c r="J377" s="44"/>
      <c r="K377" s="45"/>
      <c r="L377" s="521">
        <f t="shared" ref="L377:N378" si="250">L380+L383</f>
        <v>0</v>
      </c>
      <c r="M377" s="48">
        <f t="shared" si="250"/>
        <v>0</v>
      </c>
      <c r="N377" s="48">
        <f t="shared" si="250"/>
        <v>0</v>
      </c>
      <c r="O377" s="48">
        <f t="shared" si="245"/>
        <v>0</v>
      </c>
      <c r="P377" s="48">
        <f t="shared" si="246"/>
        <v>0</v>
      </c>
      <c r="Q377" s="48">
        <f t="shared" ref="Q377:S378" si="251">Q380+Q383</f>
        <v>0</v>
      </c>
      <c r="R377" s="48">
        <f t="shared" si="251"/>
        <v>0</v>
      </c>
      <c r="S377" s="48">
        <f t="shared" si="251"/>
        <v>0</v>
      </c>
      <c r="T377" s="48">
        <f t="shared" si="248"/>
        <v>0</v>
      </c>
      <c r="U377" s="48">
        <f t="shared" si="249"/>
        <v>0</v>
      </c>
    </row>
    <row r="378" spans="1:21" ht="18.75" hidden="1" x14ac:dyDescent="0.25">
      <c r="A378" s="128"/>
      <c r="B378" s="159"/>
      <c r="C378" s="159"/>
      <c r="D378" s="159"/>
      <c r="E378" s="270" t="s">
        <v>21</v>
      </c>
      <c r="F378" s="199"/>
      <c r="G378" s="42"/>
      <c r="H378" s="133" t="s">
        <v>14</v>
      </c>
      <c r="I378" s="44"/>
      <c r="J378" s="44"/>
      <c r="K378" s="45"/>
      <c r="L378" s="519">
        <f t="shared" si="250"/>
        <v>0</v>
      </c>
      <c r="M378" s="46">
        <f t="shared" si="250"/>
        <v>0</v>
      </c>
      <c r="N378" s="46">
        <f t="shared" si="250"/>
        <v>0</v>
      </c>
      <c r="O378" s="46">
        <f t="shared" si="245"/>
        <v>0</v>
      </c>
      <c r="P378" s="46">
        <f t="shared" si="246"/>
        <v>0</v>
      </c>
      <c r="Q378" s="46">
        <f t="shared" ca="1" si="251"/>
        <v>0</v>
      </c>
      <c r="R378" s="46">
        <f t="shared" ca="1" si="251"/>
        <v>0</v>
      </c>
      <c r="S378" s="46">
        <f t="shared" ca="1" si="251"/>
        <v>0</v>
      </c>
      <c r="T378" s="46">
        <f t="shared" ca="1" si="248"/>
        <v>0</v>
      </c>
      <c r="U378" s="46">
        <f t="shared" ca="1" si="249"/>
        <v>0</v>
      </c>
    </row>
    <row r="379" spans="1:21" ht="18.75" hidden="1" x14ac:dyDescent="0.25">
      <c r="A379" s="128"/>
      <c r="B379" s="159"/>
      <c r="C379" s="159"/>
      <c r="D379" s="554" t="s">
        <v>22</v>
      </c>
      <c r="E379" s="199"/>
      <c r="F379" s="199"/>
      <c r="G379" s="42"/>
      <c r="H379" s="134" t="s">
        <v>14</v>
      </c>
      <c r="I379" s="135"/>
      <c r="J379" s="135"/>
      <c r="K379" s="136"/>
      <c r="L379" s="519">
        <f t="shared" ref="L379:N379" si="252">L380+L381</f>
        <v>0</v>
      </c>
      <c r="M379" s="46">
        <f t="shared" si="252"/>
        <v>0</v>
      </c>
      <c r="N379" s="46">
        <f t="shared" si="252"/>
        <v>0</v>
      </c>
      <c r="O379" s="46">
        <f t="shared" si="245"/>
        <v>0</v>
      </c>
      <c r="P379" s="46">
        <f t="shared" si="246"/>
        <v>0</v>
      </c>
      <c r="Q379" s="46">
        <f t="shared" ref="Q379:S379" ca="1" si="253">Q380+Q381</f>
        <v>0</v>
      </c>
      <c r="R379" s="46">
        <f t="shared" ca="1" si="253"/>
        <v>0</v>
      </c>
      <c r="S379" s="46">
        <f t="shared" ca="1" si="253"/>
        <v>0</v>
      </c>
      <c r="T379" s="46">
        <f t="shared" ca="1" si="248"/>
        <v>0</v>
      </c>
      <c r="U379" s="46">
        <f t="shared" ca="1" si="249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199"/>
      <c r="G380" s="42"/>
      <c r="H380" s="160" t="s">
        <v>14</v>
      </c>
      <c r="I380" s="135"/>
      <c r="J380" s="135"/>
      <c r="K380" s="136"/>
      <c r="L380" s="521">
        <v>0</v>
      </c>
      <c r="M380" s="48">
        <v>0</v>
      </c>
      <c r="N380" s="48">
        <v>0</v>
      </c>
      <c r="O380" s="48">
        <f t="shared" si="245"/>
        <v>0</v>
      </c>
      <c r="P380" s="48">
        <f t="shared" si="246"/>
        <v>0</v>
      </c>
      <c r="Q380" s="48">
        <v>0</v>
      </c>
      <c r="R380" s="48">
        <v>0</v>
      </c>
      <c r="S380" s="48">
        <v>0</v>
      </c>
      <c r="T380" s="48">
        <f t="shared" si="248"/>
        <v>0</v>
      </c>
      <c r="U380" s="48">
        <f t="shared" si="249"/>
        <v>0</v>
      </c>
    </row>
    <row r="381" spans="1:21" ht="18.75" hidden="1" x14ac:dyDescent="0.25">
      <c r="A381" s="128"/>
      <c r="B381" s="159"/>
      <c r="C381" s="159"/>
      <c r="D381" s="159"/>
      <c r="E381" s="440" t="s">
        <v>37</v>
      </c>
      <c r="F381" s="159"/>
      <c r="G381" s="193"/>
      <c r="H381" s="134" t="s">
        <v>14</v>
      </c>
      <c r="I381" s="135"/>
      <c r="J381" s="135"/>
      <c r="K381" s="136"/>
      <c r="L381" s="519">
        <v>0</v>
      </c>
      <c r="M381" s="46">
        <v>0</v>
      </c>
      <c r="N381" s="46">
        <v>0</v>
      </c>
      <c r="O381" s="46">
        <f t="shared" si="245"/>
        <v>0</v>
      </c>
      <c r="P381" s="46">
        <f t="shared" si="246"/>
        <v>0</v>
      </c>
      <c r="Q381" s="46">
        <f ca="1">IFERROR(__xludf.DUMMYFUNCTION("IMPORTRANGE(""https://docs.google.com/spreadsheets/d/1ItG2mGa2ceCfYo0BwxsXqNm01IGEUdYcSSLTEv9YCik/edit?usp=sharing"",""เบิกจ่ายกองทุน!AY82"")"),0)</f>
        <v>0</v>
      </c>
      <c r="R381" s="46">
        <f ca="1">IFERROR(__xludf.DUMMYFUNCTION("IMPORTRANGE(""https://docs.google.com/spreadsheets/d/1ItG2mGa2ceCfYo0BwxsXqNm01IGEUdYcSSLTEv9YCik/edit?usp=sharing"",""เบิกจ่ายกองทุน!AZ82"")"),0)</f>
        <v>0</v>
      </c>
      <c r="S381" s="46">
        <f ca="1">IFERROR(__xludf.DUMMYFUNCTION("IMPORTRANGE(""https://docs.google.com/spreadsheets/d/1ItG2mGa2ceCfYo0BwxsXqNm01IGEUdYcSSLTEv9YCik/edit?usp=sharing"",""เบิกจ่ายกองทุน!BA82"")"),0)</f>
        <v>0</v>
      </c>
      <c r="T381" s="46">
        <f t="shared" ca="1" si="248"/>
        <v>0</v>
      </c>
      <c r="U381" s="46">
        <f t="shared" ca="1" si="249"/>
        <v>0</v>
      </c>
    </row>
    <row r="382" spans="1:21" ht="18.75" hidden="1" x14ac:dyDescent="0.25">
      <c r="A382" s="128"/>
      <c r="B382" s="159"/>
      <c r="C382" s="159"/>
      <c r="D382" s="554" t="s">
        <v>23</v>
      </c>
      <c r="E382" s="199"/>
      <c r="F382" s="199"/>
      <c r="G382" s="42"/>
      <c r="H382" s="137" t="s">
        <v>14</v>
      </c>
      <c r="I382" s="135"/>
      <c r="J382" s="135"/>
      <c r="K382" s="136"/>
      <c r="L382" s="519">
        <f t="shared" ref="L382:N382" si="254">L383+L384</f>
        <v>0</v>
      </c>
      <c r="M382" s="46">
        <f t="shared" si="254"/>
        <v>0</v>
      </c>
      <c r="N382" s="46">
        <f t="shared" si="254"/>
        <v>0</v>
      </c>
      <c r="O382" s="46">
        <f t="shared" si="245"/>
        <v>0</v>
      </c>
      <c r="P382" s="46">
        <f t="shared" si="246"/>
        <v>0</v>
      </c>
      <c r="Q382" s="46">
        <f t="shared" ref="Q382:S382" si="255">Q383+Q384</f>
        <v>0</v>
      </c>
      <c r="R382" s="46">
        <f t="shared" si="255"/>
        <v>0</v>
      </c>
      <c r="S382" s="46">
        <f t="shared" si="255"/>
        <v>0</v>
      </c>
      <c r="T382" s="46">
        <f t="shared" si="248"/>
        <v>0</v>
      </c>
      <c r="U382" s="46">
        <f t="shared" si="249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199"/>
      <c r="G383" s="42"/>
      <c r="H383" s="160" t="s">
        <v>14</v>
      </c>
      <c r="I383" s="135"/>
      <c r="J383" s="135"/>
      <c r="K383" s="136"/>
      <c r="L383" s="521">
        <v>0</v>
      </c>
      <c r="M383" s="48">
        <v>0</v>
      </c>
      <c r="N383" s="48">
        <v>0</v>
      </c>
      <c r="O383" s="48">
        <f t="shared" si="245"/>
        <v>0</v>
      </c>
      <c r="P383" s="48">
        <f t="shared" si="246"/>
        <v>0</v>
      </c>
      <c r="Q383" s="48">
        <v>0</v>
      </c>
      <c r="R383" s="48">
        <v>0</v>
      </c>
      <c r="S383" s="48">
        <v>0</v>
      </c>
      <c r="T383" s="48">
        <f t="shared" si="248"/>
        <v>0</v>
      </c>
      <c r="U383" s="48">
        <f t="shared" si="249"/>
        <v>0</v>
      </c>
    </row>
    <row r="384" spans="1:21" ht="18.75" hidden="1" x14ac:dyDescent="0.25">
      <c r="A384" s="128"/>
      <c r="B384" s="159"/>
      <c r="C384" s="159"/>
      <c r="D384" s="159"/>
      <c r="E384" s="270" t="s">
        <v>21</v>
      </c>
      <c r="F384" s="199"/>
      <c r="G384" s="42"/>
      <c r="H384" s="137" t="s">
        <v>14</v>
      </c>
      <c r="I384" s="135"/>
      <c r="J384" s="135"/>
      <c r="K384" s="136"/>
      <c r="L384" s="519">
        <v>0</v>
      </c>
      <c r="M384" s="46">
        <v>0</v>
      </c>
      <c r="N384" s="46">
        <v>0</v>
      </c>
      <c r="O384" s="46">
        <f t="shared" si="245"/>
        <v>0</v>
      </c>
      <c r="P384" s="46">
        <f t="shared" si="246"/>
        <v>0</v>
      </c>
      <c r="Q384" s="46">
        <v>0</v>
      </c>
      <c r="R384" s="46">
        <v>0</v>
      </c>
      <c r="S384" s="46">
        <v>0</v>
      </c>
      <c r="T384" s="46">
        <f t="shared" si="248"/>
        <v>0</v>
      </c>
      <c r="U384" s="46">
        <f t="shared" si="249"/>
        <v>0</v>
      </c>
    </row>
    <row r="385" spans="1:21" ht="19.5" hidden="1" x14ac:dyDescent="0.3">
      <c r="A385" s="138"/>
      <c r="B385" s="139"/>
      <c r="C385" s="351" t="s">
        <v>18</v>
      </c>
      <c r="D385" s="687" t="s">
        <v>38</v>
      </c>
      <c r="E385" s="141"/>
      <c r="F385" s="141"/>
      <c r="G385" s="142"/>
      <c r="H385" s="191"/>
      <c r="I385" s="135"/>
      <c r="J385" s="44"/>
      <c r="K385" s="45"/>
      <c r="L385" s="522"/>
      <c r="M385" s="45"/>
      <c r="N385" s="45"/>
      <c r="O385" s="136"/>
      <c r="P385" s="136"/>
      <c r="Q385" s="45"/>
      <c r="R385" s="45"/>
      <c r="S385" s="45"/>
      <c r="T385" s="136"/>
      <c r="U385" s="136"/>
    </row>
    <row r="386" spans="1:21" ht="18.75" hidden="1" x14ac:dyDescent="0.25">
      <c r="A386" s="224"/>
      <c r="B386" s="159"/>
      <c r="C386" s="159"/>
      <c r="D386" s="159"/>
      <c r="E386" s="270" t="s">
        <v>154</v>
      </c>
      <c r="F386" s="199"/>
      <c r="G386" s="42"/>
      <c r="H386" s="133" t="s">
        <v>34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6">
        <f t="shared" ref="K386:K389" ca="1" si="256">IF(I386&gt;0,J386*100/I386,0)</f>
        <v>0</v>
      </c>
      <c r="L386" s="522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159"/>
      <c r="B387" s="159"/>
      <c r="C387" s="159"/>
      <c r="D387" s="159"/>
      <c r="E387" s="159"/>
      <c r="F387" s="159"/>
      <c r="G387" s="193"/>
      <c r="H387" s="133" t="s">
        <v>46</v>
      </c>
      <c r="I387" s="152">
        <f ca="1">IFERROR(__xludf.DUMMYFUNCTION("IMPORTRANGE(""https://docs.google.com/spreadsheets/d/1eHaY18a8A9IcSdp1K8H6x8fbOy06t2VsZHhMHf-1x7Y/edit?usp=sharing"",""แผน!JQ82"")"),0)</f>
        <v>0</v>
      </c>
      <c r="J387" s="152">
        <v>0</v>
      </c>
      <c r="K387" s="46">
        <f t="shared" ca="1" si="256"/>
        <v>0</v>
      </c>
      <c r="L387" s="522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159"/>
      <c r="B388" s="159"/>
      <c r="C388" s="159"/>
      <c r="D388" s="159"/>
      <c r="E388" s="455" t="s">
        <v>155</v>
      </c>
      <c r="F388" s="159"/>
      <c r="G388" s="193"/>
      <c r="H388" s="158" t="s">
        <v>34</v>
      </c>
      <c r="I388" s="340">
        <v>0</v>
      </c>
      <c r="J388" s="340">
        <v>0</v>
      </c>
      <c r="K388" s="48">
        <f t="shared" si="256"/>
        <v>0</v>
      </c>
      <c r="L388" s="522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8.75" hidden="1" x14ac:dyDescent="0.25">
      <c r="A389" s="159"/>
      <c r="B389" s="159"/>
      <c r="C389" s="159"/>
      <c r="D389" s="159"/>
      <c r="E389" s="159"/>
      <c r="F389" s="159"/>
      <c r="G389" s="193"/>
      <c r="H389" s="158" t="s">
        <v>46</v>
      </c>
      <c r="I389" s="340">
        <v>0</v>
      </c>
      <c r="J389" s="340">
        <v>0</v>
      </c>
      <c r="K389" s="48">
        <f t="shared" si="256"/>
        <v>0</v>
      </c>
      <c r="L389" s="522"/>
      <c r="M389" s="45"/>
      <c r="N389" s="45"/>
      <c r="O389" s="45"/>
      <c r="P389" s="45"/>
      <c r="Q389" s="45"/>
      <c r="R389" s="45"/>
      <c r="S389" s="45"/>
      <c r="T389" s="45"/>
      <c r="U389" s="45"/>
    </row>
    <row r="390" spans="1:21" ht="12.75" hidden="1" x14ac:dyDescent="0.2">
      <c r="A390" s="250"/>
      <c r="B390" s="250"/>
      <c r="C390" s="250"/>
      <c r="D390" s="250"/>
      <c r="E390" s="250"/>
      <c r="F390" s="250"/>
      <c r="G390" s="253"/>
      <c r="H390" s="253"/>
      <c r="I390" s="254">
        <v>0</v>
      </c>
      <c r="J390" s="254">
        <v>0</v>
      </c>
      <c r="K390" s="255"/>
      <c r="L390" s="693"/>
      <c r="M390" s="255"/>
      <c r="N390" s="255"/>
      <c r="O390" s="255"/>
      <c r="P390" s="255"/>
      <c r="Q390" s="255"/>
      <c r="R390" s="255"/>
      <c r="S390" s="255"/>
      <c r="T390" s="255"/>
      <c r="U390" s="255"/>
    </row>
    <row r="391" spans="1:21" ht="12.75" hidden="1" x14ac:dyDescent="0.2">
      <c r="A391" s="341"/>
      <c r="B391" s="341"/>
      <c r="C391" s="341"/>
      <c r="D391" s="341"/>
      <c r="E391" s="341"/>
      <c r="F391" s="341"/>
      <c r="G391" s="342"/>
      <c r="H391" s="342"/>
      <c r="I391" s="343">
        <v>0</v>
      </c>
      <c r="J391" s="343">
        <v>0</v>
      </c>
      <c r="K391" s="344"/>
      <c r="L391" s="694"/>
      <c r="M391" s="344"/>
      <c r="N391" s="344"/>
      <c r="O391" s="344"/>
      <c r="P391" s="344"/>
      <c r="Q391" s="344"/>
      <c r="R391" s="344"/>
      <c r="S391" s="344"/>
      <c r="T391" s="344"/>
      <c r="U391" s="344"/>
    </row>
    <row r="392" spans="1:21" ht="19.5" hidden="1" x14ac:dyDescent="0.3">
      <c r="A392" s="324"/>
      <c r="B392" s="335" t="s">
        <v>156</v>
      </c>
      <c r="C392" s="325"/>
      <c r="D392" s="326"/>
      <c r="E392" s="318"/>
      <c r="F392" s="318"/>
      <c r="G392" s="319"/>
      <c r="H392" s="336" t="s">
        <v>61</v>
      </c>
      <c r="I392" s="331">
        <f t="shared" ref="I392:J392" si="257">I403</f>
        <v>0</v>
      </c>
      <c r="J392" s="331">
        <f t="shared" si="257"/>
        <v>0</v>
      </c>
      <c r="K392" s="322">
        <f>IF(I392&gt;0,J392*100/I392,0)</f>
        <v>0</v>
      </c>
      <c r="L392" s="655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9.5" hidden="1" x14ac:dyDescent="0.3">
      <c r="A393" s="128"/>
      <c r="B393" s="159"/>
      <c r="C393" s="351" t="s">
        <v>18</v>
      </c>
      <c r="D393" s="686" t="s">
        <v>19</v>
      </c>
      <c r="E393" s="199"/>
      <c r="F393" s="199"/>
      <c r="G393" s="42"/>
      <c r="H393" s="131" t="s">
        <v>14</v>
      </c>
      <c r="I393" s="44"/>
      <c r="J393" s="44"/>
      <c r="K393" s="45"/>
      <c r="L393" s="545">
        <f t="shared" ref="L393:N393" si="258">L394+L395</f>
        <v>0</v>
      </c>
      <c r="M393" s="132">
        <f t="shared" si="258"/>
        <v>0</v>
      </c>
      <c r="N393" s="132">
        <f t="shared" si="258"/>
        <v>0</v>
      </c>
      <c r="O393" s="132">
        <f t="shared" ref="O393:O401" si="259">IF(L393&gt;0,N393*100/L393,0)</f>
        <v>0</v>
      </c>
      <c r="P393" s="132">
        <f t="shared" ref="P393:P401" si="260">IF(M393&gt;0,N393*100/M393,0)</f>
        <v>0</v>
      </c>
      <c r="Q393" s="132">
        <f t="shared" ref="Q393:S393" si="261">Q394+Q395</f>
        <v>0</v>
      </c>
      <c r="R393" s="132">
        <f t="shared" si="261"/>
        <v>0</v>
      </c>
      <c r="S393" s="132">
        <f t="shared" si="261"/>
        <v>0</v>
      </c>
      <c r="T393" s="132">
        <f t="shared" ref="T393:T401" si="262">IF(Q393&gt;0,S393*100/Q393,0)</f>
        <v>0</v>
      </c>
      <c r="U393" s="132">
        <f t="shared" ref="U393:U401" si="263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199"/>
      <c r="G394" s="42"/>
      <c r="H394" s="158" t="s">
        <v>14</v>
      </c>
      <c r="I394" s="44"/>
      <c r="J394" s="44"/>
      <c r="K394" s="45"/>
      <c r="L394" s="521">
        <f t="shared" ref="L394:N395" si="264">L397+L400</f>
        <v>0</v>
      </c>
      <c r="M394" s="48">
        <f t="shared" si="264"/>
        <v>0</v>
      </c>
      <c r="N394" s="48">
        <f t="shared" si="264"/>
        <v>0</v>
      </c>
      <c r="O394" s="48">
        <f t="shared" si="259"/>
        <v>0</v>
      </c>
      <c r="P394" s="48">
        <f t="shared" si="260"/>
        <v>0</v>
      </c>
      <c r="Q394" s="48">
        <f t="shared" ref="Q394:S395" si="265">Q397+Q400</f>
        <v>0</v>
      </c>
      <c r="R394" s="48">
        <f t="shared" si="265"/>
        <v>0</v>
      </c>
      <c r="S394" s="48">
        <f t="shared" si="265"/>
        <v>0</v>
      </c>
      <c r="T394" s="48">
        <f t="shared" si="262"/>
        <v>0</v>
      </c>
      <c r="U394" s="48">
        <f t="shared" si="263"/>
        <v>0</v>
      </c>
    </row>
    <row r="395" spans="1:21" ht="18.75" hidden="1" x14ac:dyDescent="0.25">
      <c r="A395" s="128"/>
      <c r="B395" s="159"/>
      <c r="C395" s="159"/>
      <c r="D395" s="159"/>
      <c r="E395" s="270" t="s">
        <v>21</v>
      </c>
      <c r="F395" s="199"/>
      <c r="G395" s="42"/>
      <c r="H395" s="133" t="s">
        <v>14</v>
      </c>
      <c r="I395" s="44"/>
      <c r="J395" s="44"/>
      <c r="K395" s="45"/>
      <c r="L395" s="519">
        <f t="shared" si="264"/>
        <v>0</v>
      </c>
      <c r="M395" s="46">
        <f t="shared" si="264"/>
        <v>0</v>
      </c>
      <c r="N395" s="46">
        <f t="shared" si="264"/>
        <v>0</v>
      </c>
      <c r="O395" s="46">
        <f t="shared" si="259"/>
        <v>0</v>
      </c>
      <c r="P395" s="46">
        <f t="shared" si="260"/>
        <v>0</v>
      </c>
      <c r="Q395" s="46">
        <f t="shared" si="265"/>
        <v>0</v>
      </c>
      <c r="R395" s="46">
        <f t="shared" si="265"/>
        <v>0</v>
      </c>
      <c r="S395" s="46">
        <f t="shared" si="265"/>
        <v>0</v>
      </c>
      <c r="T395" s="46">
        <f t="shared" si="262"/>
        <v>0</v>
      </c>
      <c r="U395" s="46">
        <f t="shared" si="263"/>
        <v>0</v>
      </c>
    </row>
    <row r="396" spans="1:21" ht="18.75" hidden="1" x14ac:dyDescent="0.25">
      <c r="A396" s="128"/>
      <c r="B396" s="159"/>
      <c r="C396" s="159"/>
      <c r="D396" s="554" t="s">
        <v>22</v>
      </c>
      <c r="E396" s="199"/>
      <c r="F396" s="199"/>
      <c r="G396" s="42"/>
      <c r="H396" s="134" t="s">
        <v>14</v>
      </c>
      <c r="I396" s="135"/>
      <c r="J396" s="135"/>
      <c r="K396" s="136"/>
      <c r="L396" s="519">
        <f t="shared" ref="L396:N396" si="266">L397+L398</f>
        <v>0</v>
      </c>
      <c r="M396" s="46">
        <f t="shared" si="266"/>
        <v>0</v>
      </c>
      <c r="N396" s="46">
        <f t="shared" si="266"/>
        <v>0</v>
      </c>
      <c r="O396" s="46">
        <f t="shared" si="259"/>
        <v>0</v>
      </c>
      <c r="P396" s="46">
        <f t="shared" si="260"/>
        <v>0</v>
      </c>
      <c r="Q396" s="46">
        <f t="shared" ref="Q396:S396" si="267">Q397+Q398</f>
        <v>0</v>
      </c>
      <c r="R396" s="46">
        <f t="shared" si="267"/>
        <v>0</v>
      </c>
      <c r="S396" s="46">
        <f t="shared" si="267"/>
        <v>0</v>
      </c>
      <c r="T396" s="46">
        <f t="shared" si="262"/>
        <v>0</v>
      </c>
      <c r="U396" s="46">
        <f t="shared" si="263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199"/>
      <c r="G397" s="42"/>
      <c r="H397" s="160" t="s">
        <v>14</v>
      </c>
      <c r="I397" s="135"/>
      <c r="J397" s="135"/>
      <c r="K397" s="136"/>
      <c r="L397" s="521">
        <v>0</v>
      </c>
      <c r="M397" s="48">
        <v>0</v>
      </c>
      <c r="N397" s="48">
        <v>0</v>
      </c>
      <c r="O397" s="48">
        <f t="shared" si="259"/>
        <v>0</v>
      </c>
      <c r="P397" s="48">
        <f t="shared" si="260"/>
        <v>0</v>
      </c>
      <c r="Q397" s="48">
        <v>0</v>
      </c>
      <c r="R397" s="48">
        <v>0</v>
      </c>
      <c r="S397" s="48">
        <v>0</v>
      </c>
      <c r="T397" s="48">
        <f t="shared" si="262"/>
        <v>0</v>
      </c>
      <c r="U397" s="48">
        <f t="shared" si="263"/>
        <v>0</v>
      </c>
    </row>
    <row r="398" spans="1:21" ht="18.75" hidden="1" x14ac:dyDescent="0.25">
      <c r="A398" s="128"/>
      <c r="B398" s="159"/>
      <c r="C398" s="159"/>
      <c r="D398" s="159"/>
      <c r="E398" s="440" t="s">
        <v>37</v>
      </c>
      <c r="F398" s="159"/>
      <c r="G398" s="193"/>
      <c r="H398" s="134" t="s">
        <v>14</v>
      </c>
      <c r="I398" s="135"/>
      <c r="J398" s="135"/>
      <c r="K398" s="136"/>
      <c r="L398" s="519">
        <v>0</v>
      </c>
      <c r="M398" s="46">
        <v>0</v>
      </c>
      <c r="N398" s="46">
        <v>0</v>
      </c>
      <c r="O398" s="46">
        <f t="shared" si="259"/>
        <v>0</v>
      </c>
      <c r="P398" s="46">
        <f t="shared" si="260"/>
        <v>0</v>
      </c>
      <c r="Q398" s="46">
        <v>0</v>
      </c>
      <c r="R398" s="46">
        <v>0</v>
      </c>
      <c r="S398" s="46">
        <v>0</v>
      </c>
      <c r="T398" s="46">
        <f t="shared" si="262"/>
        <v>0</v>
      </c>
      <c r="U398" s="46">
        <f t="shared" si="263"/>
        <v>0</v>
      </c>
    </row>
    <row r="399" spans="1:21" ht="18.75" hidden="1" x14ac:dyDescent="0.25">
      <c r="A399" s="128"/>
      <c r="B399" s="159"/>
      <c r="C399" s="159"/>
      <c r="D399" s="554" t="s">
        <v>23</v>
      </c>
      <c r="E399" s="199"/>
      <c r="F399" s="199"/>
      <c r="G399" s="42"/>
      <c r="H399" s="137" t="s">
        <v>14</v>
      </c>
      <c r="I399" s="135"/>
      <c r="J399" s="135"/>
      <c r="K399" s="136"/>
      <c r="L399" s="519">
        <f t="shared" ref="L399:N399" si="268">L400+L401</f>
        <v>0</v>
      </c>
      <c r="M399" s="46">
        <f t="shared" si="268"/>
        <v>0</v>
      </c>
      <c r="N399" s="46">
        <f t="shared" si="268"/>
        <v>0</v>
      </c>
      <c r="O399" s="46">
        <f t="shared" si="259"/>
        <v>0</v>
      </c>
      <c r="P399" s="46">
        <f t="shared" si="260"/>
        <v>0</v>
      </c>
      <c r="Q399" s="46">
        <f t="shared" ref="Q399:S399" si="269">Q400+Q401</f>
        <v>0</v>
      </c>
      <c r="R399" s="46">
        <f t="shared" si="269"/>
        <v>0</v>
      </c>
      <c r="S399" s="46">
        <f t="shared" si="269"/>
        <v>0</v>
      </c>
      <c r="T399" s="46">
        <f t="shared" si="262"/>
        <v>0</v>
      </c>
      <c r="U399" s="46">
        <f t="shared" si="263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199"/>
      <c r="G400" s="42"/>
      <c r="H400" s="160" t="s">
        <v>14</v>
      </c>
      <c r="I400" s="135"/>
      <c r="J400" s="135"/>
      <c r="K400" s="136"/>
      <c r="L400" s="521">
        <v>0</v>
      </c>
      <c r="M400" s="48">
        <v>0</v>
      </c>
      <c r="N400" s="48">
        <v>0</v>
      </c>
      <c r="O400" s="48">
        <f t="shared" si="259"/>
        <v>0</v>
      </c>
      <c r="P400" s="48">
        <f t="shared" si="260"/>
        <v>0</v>
      </c>
      <c r="Q400" s="48">
        <v>0</v>
      </c>
      <c r="R400" s="48">
        <v>0</v>
      </c>
      <c r="S400" s="48">
        <v>0</v>
      </c>
      <c r="T400" s="48">
        <f t="shared" si="262"/>
        <v>0</v>
      </c>
      <c r="U400" s="48">
        <f t="shared" si="263"/>
        <v>0</v>
      </c>
    </row>
    <row r="401" spans="1:21" ht="18.75" hidden="1" x14ac:dyDescent="0.25">
      <c r="A401" s="128"/>
      <c r="B401" s="159"/>
      <c r="C401" s="159"/>
      <c r="D401" s="159"/>
      <c r="E401" s="270" t="s">
        <v>21</v>
      </c>
      <c r="F401" s="199"/>
      <c r="G401" s="42"/>
      <c r="H401" s="137" t="s">
        <v>14</v>
      </c>
      <c r="I401" s="135"/>
      <c r="J401" s="135"/>
      <c r="K401" s="136"/>
      <c r="L401" s="519">
        <v>0</v>
      </c>
      <c r="M401" s="46">
        <v>0</v>
      </c>
      <c r="N401" s="46">
        <v>0</v>
      </c>
      <c r="O401" s="46">
        <f t="shared" si="259"/>
        <v>0</v>
      </c>
      <c r="P401" s="46">
        <f t="shared" si="260"/>
        <v>0</v>
      </c>
      <c r="Q401" s="46">
        <v>0</v>
      </c>
      <c r="R401" s="46">
        <v>0</v>
      </c>
      <c r="S401" s="46">
        <v>0</v>
      </c>
      <c r="T401" s="46">
        <f t="shared" si="262"/>
        <v>0</v>
      </c>
      <c r="U401" s="46">
        <f t="shared" si="263"/>
        <v>0</v>
      </c>
    </row>
    <row r="402" spans="1:21" ht="19.5" hidden="1" x14ac:dyDescent="0.3">
      <c r="A402" s="138"/>
      <c r="B402" s="139"/>
      <c r="C402" s="351" t="s">
        <v>18</v>
      </c>
      <c r="D402" s="687" t="s">
        <v>38</v>
      </c>
      <c r="E402" s="141"/>
      <c r="F402" s="141"/>
      <c r="G402" s="142"/>
      <c r="H402" s="191"/>
      <c r="I402" s="135"/>
      <c r="J402" s="44"/>
      <c r="K402" s="45"/>
      <c r="L402" s="522"/>
      <c r="M402" s="45"/>
      <c r="N402" s="45"/>
      <c r="O402" s="136"/>
      <c r="P402" s="136"/>
      <c r="Q402" s="45"/>
      <c r="R402" s="45"/>
      <c r="S402" s="45"/>
      <c r="T402" s="136"/>
      <c r="U402" s="136"/>
    </row>
    <row r="403" spans="1:21" ht="12.75" hidden="1" x14ac:dyDescent="0.2">
      <c r="A403" s="249"/>
      <c r="B403" s="250"/>
      <c r="C403" s="250"/>
      <c r="D403" s="250"/>
      <c r="E403" s="251"/>
      <c r="F403" s="251"/>
      <c r="G403" s="252"/>
      <c r="H403" s="253"/>
      <c r="I403" s="254"/>
      <c r="J403" s="254"/>
      <c r="K403" s="255"/>
      <c r="L403" s="693"/>
      <c r="M403" s="255"/>
      <c r="N403" s="255"/>
      <c r="O403" s="255"/>
      <c r="P403" s="255"/>
      <c r="Q403" s="255"/>
      <c r="R403" s="255"/>
      <c r="S403" s="255"/>
      <c r="T403" s="255"/>
      <c r="U403" s="255"/>
    </row>
    <row r="404" spans="1:21" ht="12.75" hidden="1" x14ac:dyDescent="0.2">
      <c r="A404" s="250"/>
      <c r="B404" s="250"/>
      <c r="C404" s="250"/>
      <c r="D404" s="250"/>
      <c r="E404" s="250"/>
      <c r="F404" s="250"/>
      <c r="G404" s="253"/>
      <c r="H404" s="253"/>
      <c r="I404" s="254"/>
      <c r="J404" s="254"/>
      <c r="K404" s="255"/>
      <c r="L404" s="693"/>
      <c r="M404" s="255"/>
      <c r="N404" s="255"/>
      <c r="O404" s="255"/>
      <c r="P404" s="255"/>
      <c r="Q404" s="255"/>
      <c r="R404" s="255"/>
      <c r="S404" s="255"/>
      <c r="T404" s="255"/>
      <c r="U404" s="255"/>
    </row>
    <row r="405" spans="1:21" ht="12.75" hidden="1" x14ac:dyDescent="0.2">
      <c r="A405" s="250"/>
      <c r="B405" s="250"/>
      <c r="C405" s="250"/>
      <c r="D405" s="250"/>
      <c r="E405" s="250"/>
      <c r="F405" s="250"/>
      <c r="G405" s="253"/>
      <c r="H405" s="253"/>
      <c r="I405" s="254"/>
      <c r="J405" s="254"/>
      <c r="K405" s="255"/>
      <c r="L405" s="693"/>
      <c r="M405" s="255"/>
      <c r="N405" s="255"/>
      <c r="O405" s="255"/>
      <c r="P405" s="255"/>
      <c r="Q405" s="255"/>
      <c r="R405" s="255"/>
      <c r="S405" s="255"/>
      <c r="T405" s="255"/>
      <c r="U405" s="255"/>
    </row>
    <row r="406" spans="1:21" ht="12.75" hidden="1" x14ac:dyDescent="0.2">
      <c r="A406" s="250"/>
      <c r="B406" s="250"/>
      <c r="C406" s="250"/>
      <c r="D406" s="250"/>
      <c r="E406" s="250"/>
      <c r="F406" s="250"/>
      <c r="G406" s="253"/>
      <c r="H406" s="253"/>
      <c r="I406" s="254"/>
      <c r="J406" s="254"/>
      <c r="K406" s="255"/>
      <c r="L406" s="693"/>
      <c r="M406" s="255"/>
      <c r="N406" s="255"/>
      <c r="O406" s="255"/>
      <c r="P406" s="255"/>
      <c r="Q406" s="255"/>
      <c r="R406" s="255"/>
      <c r="S406" s="255"/>
      <c r="T406" s="255"/>
      <c r="U406" s="255"/>
    </row>
    <row r="407" spans="1:21" ht="12.75" hidden="1" x14ac:dyDescent="0.2">
      <c r="A407" s="250"/>
      <c r="B407" s="250"/>
      <c r="C407" s="250"/>
      <c r="D407" s="250"/>
      <c r="E407" s="250"/>
      <c r="F407" s="250"/>
      <c r="G407" s="253"/>
      <c r="H407" s="253"/>
      <c r="I407" s="254"/>
      <c r="J407" s="254"/>
      <c r="K407" s="255"/>
      <c r="L407" s="693"/>
      <c r="M407" s="255"/>
      <c r="N407" s="255"/>
      <c r="O407" s="255"/>
      <c r="P407" s="255"/>
      <c r="Q407" s="255"/>
      <c r="R407" s="255"/>
      <c r="S407" s="255"/>
      <c r="T407" s="255"/>
      <c r="U407" s="255"/>
    </row>
    <row r="408" spans="1:21" ht="12.75" hidden="1" x14ac:dyDescent="0.2">
      <c r="A408" s="250"/>
      <c r="B408" s="250"/>
      <c r="C408" s="250"/>
      <c r="D408" s="250"/>
      <c r="E408" s="250"/>
      <c r="F408" s="250"/>
      <c r="G408" s="253"/>
      <c r="H408" s="253"/>
      <c r="I408" s="254"/>
      <c r="J408" s="254"/>
      <c r="K408" s="255"/>
      <c r="L408" s="693"/>
      <c r="M408" s="255"/>
      <c r="N408" s="255"/>
      <c r="O408" s="255"/>
      <c r="P408" s="255"/>
      <c r="Q408" s="255"/>
      <c r="R408" s="255"/>
      <c r="S408" s="255"/>
      <c r="T408" s="255"/>
      <c r="U408" s="255"/>
    </row>
    <row r="409" spans="1:21" ht="12.75" hidden="1" x14ac:dyDescent="0.2">
      <c r="A409" s="250"/>
      <c r="B409" s="250"/>
      <c r="C409" s="250"/>
      <c r="D409" s="250"/>
      <c r="E409" s="250"/>
      <c r="F409" s="250"/>
      <c r="G409" s="253"/>
      <c r="H409" s="253"/>
      <c r="I409" s="254"/>
      <c r="J409" s="254"/>
      <c r="K409" s="255"/>
      <c r="L409" s="693"/>
      <c r="M409" s="255"/>
      <c r="N409" s="255"/>
      <c r="O409" s="255"/>
      <c r="P409" s="255"/>
      <c r="Q409" s="255"/>
      <c r="R409" s="255"/>
      <c r="S409" s="255"/>
      <c r="T409" s="255"/>
      <c r="U409" s="255"/>
    </row>
    <row r="410" spans="1:21" ht="12.75" hidden="1" x14ac:dyDescent="0.2">
      <c r="A410" s="250"/>
      <c r="B410" s="250"/>
      <c r="C410" s="250"/>
      <c r="D410" s="250"/>
      <c r="E410" s="250"/>
      <c r="F410" s="250"/>
      <c r="G410" s="253"/>
      <c r="H410" s="253"/>
      <c r="I410" s="254"/>
      <c r="J410" s="254"/>
      <c r="K410" s="255"/>
      <c r="L410" s="693"/>
      <c r="M410" s="255"/>
      <c r="N410" s="255"/>
      <c r="O410" s="255"/>
      <c r="P410" s="255"/>
      <c r="Q410" s="255"/>
      <c r="R410" s="255"/>
      <c r="S410" s="255"/>
      <c r="T410" s="255"/>
      <c r="U410" s="255"/>
    </row>
    <row r="411" spans="1:21" ht="12.75" hidden="1" x14ac:dyDescent="0.2">
      <c r="A411" s="250"/>
      <c r="B411" s="250"/>
      <c r="C411" s="250"/>
      <c r="D411" s="250"/>
      <c r="E411" s="250"/>
      <c r="F411" s="250"/>
      <c r="G411" s="253"/>
      <c r="H411" s="253"/>
      <c r="I411" s="254"/>
      <c r="J411" s="254"/>
      <c r="K411" s="255"/>
      <c r="L411" s="693"/>
      <c r="M411" s="255"/>
      <c r="N411" s="255"/>
      <c r="O411" s="255"/>
      <c r="P411" s="255"/>
      <c r="Q411" s="255"/>
      <c r="R411" s="255"/>
      <c r="S411" s="255"/>
      <c r="T411" s="255"/>
      <c r="U411" s="255"/>
    </row>
    <row r="412" spans="1:21" ht="12.75" hidden="1" x14ac:dyDescent="0.2">
      <c r="A412" s="341"/>
      <c r="B412" s="341"/>
      <c r="C412" s="341"/>
      <c r="D412" s="341"/>
      <c r="E412" s="341"/>
      <c r="F412" s="341"/>
      <c r="G412" s="342"/>
      <c r="H412" s="342"/>
      <c r="I412" s="343"/>
      <c r="J412" s="343"/>
      <c r="K412" s="344"/>
      <c r="L412" s="694"/>
      <c r="M412" s="344"/>
      <c r="N412" s="344"/>
      <c r="O412" s="344"/>
      <c r="P412" s="344"/>
      <c r="Q412" s="344"/>
      <c r="R412" s="344"/>
      <c r="S412" s="344"/>
      <c r="T412" s="344"/>
      <c r="U412" s="344"/>
    </row>
    <row r="413" spans="1:21" ht="19.5" hidden="1" x14ac:dyDescent="0.3">
      <c r="A413" s="326"/>
      <c r="B413" s="335" t="s">
        <v>157</v>
      </c>
      <c r="C413" s="326"/>
      <c r="D413" s="326"/>
      <c r="E413" s="326"/>
      <c r="F413" s="326"/>
      <c r="G413" s="346"/>
      <c r="H413" s="347" t="s">
        <v>46</v>
      </c>
      <c r="I413" s="321">
        <f t="shared" ref="I413:J413" ca="1" si="270">I424</f>
        <v>0</v>
      </c>
      <c r="J413" s="321">
        <f t="shared" si="270"/>
        <v>0</v>
      </c>
      <c r="K413" s="322">
        <f ca="1">IF(I413&gt;0,J413*100/I413,0)</f>
        <v>0</v>
      </c>
      <c r="L413" s="655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9.5" hidden="1" x14ac:dyDescent="0.3">
      <c r="A414" s="128"/>
      <c r="B414" s="159"/>
      <c r="C414" s="348" t="s">
        <v>18</v>
      </c>
      <c r="D414" s="695" t="s">
        <v>19</v>
      </c>
      <c r="E414" s="478"/>
      <c r="F414" s="478"/>
      <c r="G414" s="479"/>
      <c r="H414" s="349" t="s">
        <v>14</v>
      </c>
      <c r="I414" s="44"/>
      <c r="J414" s="44"/>
      <c r="K414" s="45"/>
      <c r="L414" s="545">
        <f t="shared" ref="L414:N414" si="271">L415+L416</f>
        <v>0</v>
      </c>
      <c r="M414" s="132">
        <f t="shared" si="271"/>
        <v>0</v>
      </c>
      <c r="N414" s="132">
        <f t="shared" si="271"/>
        <v>0</v>
      </c>
      <c r="O414" s="132">
        <f t="shared" ref="O414:O422" si="272">IF(L414&gt;0,N414*100/L414,0)</f>
        <v>0</v>
      </c>
      <c r="P414" s="132">
        <f t="shared" ref="P414:P422" si="273">IF(M414&gt;0,N414*100/M414,0)</f>
        <v>0</v>
      </c>
      <c r="Q414" s="132">
        <f t="shared" ref="Q414:S414" ca="1" si="274">Q415+Q416</f>
        <v>0</v>
      </c>
      <c r="R414" s="132">
        <f t="shared" ca="1" si="274"/>
        <v>0</v>
      </c>
      <c r="S414" s="132">
        <f t="shared" ca="1" si="274"/>
        <v>0</v>
      </c>
      <c r="T414" s="132">
        <f t="shared" ref="T414:T422" ca="1" si="275">IF(Q414&gt;0,S414*100/Q414,0)</f>
        <v>0</v>
      </c>
      <c r="U414" s="132">
        <f t="shared" ref="U414:U422" ca="1" si="276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455" t="s">
        <v>158</v>
      </c>
      <c r="F415" s="159"/>
      <c r="G415" s="193"/>
      <c r="H415" s="189" t="s">
        <v>14</v>
      </c>
      <c r="I415" s="44"/>
      <c r="J415" s="44"/>
      <c r="K415" s="45"/>
      <c r="L415" s="521">
        <f t="shared" ref="L415:N416" si="277">L418+L421</f>
        <v>0</v>
      </c>
      <c r="M415" s="48">
        <f t="shared" si="277"/>
        <v>0</v>
      </c>
      <c r="N415" s="48">
        <f t="shared" si="277"/>
        <v>0</v>
      </c>
      <c r="O415" s="48">
        <f t="shared" si="272"/>
        <v>0</v>
      </c>
      <c r="P415" s="48">
        <f t="shared" si="273"/>
        <v>0</v>
      </c>
      <c r="Q415" s="48">
        <f t="shared" ref="Q415:S416" si="278">Q418+Q421</f>
        <v>0</v>
      </c>
      <c r="R415" s="48">
        <f t="shared" si="278"/>
        <v>0</v>
      </c>
      <c r="S415" s="48">
        <f t="shared" si="278"/>
        <v>0</v>
      </c>
      <c r="T415" s="48">
        <f t="shared" si="275"/>
        <v>0</v>
      </c>
      <c r="U415" s="48">
        <f t="shared" si="276"/>
        <v>0</v>
      </c>
    </row>
    <row r="416" spans="1:21" ht="18.75" hidden="1" x14ac:dyDescent="0.25">
      <c r="A416" s="128"/>
      <c r="B416" s="159"/>
      <c r="C416" s="159"/>
      <c r="D416" s="159"/>
      <c r="E416" s="440" t="s">
        <v>159</v>
      </c>
      <c r="F416" s="159"/>
      <c r="G416" s="193"/>
      <c r="H416" s="188" t="s">
        <v>14</v>
      </c>
      <c r="I416" s="44"/>
      <c r="J416" s="44"/>
      <c r="K416" s="45"/>
      <c r="L416" s="519">
        <f t="shared" si="277"/>
        <v>0</v>
      </c>
      <c r="M416" s="46">
        <f t="shared" si="277"/>
        <v>0</v>
      </c>
      <c r="N416" s="46">
        <f t="shared" si="277"/>
        <v>0</v>
      </c>
      <c r="O416" s="46">
        <f t="shared" si="272"/>
        <v>0</v>
      </c>
      <c r="P416" s="46">
        <f t="shared" si="273"/>
        <v>0</v>
      </c>
      <c r="Q416" s="46">
        <f t="shared" ca="1" si="278"/>
        <v>0</v>
      </c>
      <c r="R416" s="46">
        <f t="shared" ca="1" si="278"/>
        <v>0</v>
      </c>
      <c r="S416" s="46">
        <f t="shared" ca="1" si="278"/>
        <v>0</v>
      </c>
      <c r="T416" s="46">
        <f t="shared" ca="1" si="275"/>
        <v>0</v>
      </c>
      <c r="U416" s="46">
        <f t="shared" ca="1" si="276"/>
        <v>0</v>
      </c>
    </row>
    <row r="417" spans="1:21" ht="19.5" hidden="1" x14ac:dyDescent="0.3">
      <c r="A417" s="128"/>
      <c r="B417" s="159"/>
      <c r="C417" s="159"/>
      <c r="D417" s="686" t="s">
        <v>22</v>
      </c>
      <c r="E417" s="159"/>
      <c r="F417" s="159"/>
      <c r="G417" s="193"/>
      <c r="H417" s="349" t="s">
        <v>14</v>
      </c>
      <c r="I417" s="44"/>
      <c r="J417" s="44"/>
      <c r="K417" s="45"/>
      <c r="L417" s="519">
        <f t="shared" ref="L417:N417" si="279">L418+L419</f>
        <v>0</v>
      </c>
      <c r="M417" s="46">
        <f t="shared" si="279"/>
        <v>0</v>
      </c>
      <c r="N417" s="46">
        <f t="shared" si="279"/>
        <v>0</v>
      </c>
      <c r="O417" s="46">
        <f t="shared" si="272"/>
        <v>0</v>
      </c>
      <c r="P417" s="46">
        <f t="shared" si="273"/>
        <v>0</v>
      </c>
      <c r="Q417" s="46">
        <f t="shared" ref="Q417:S417" ca="1" si="280">Q418+Q419</f>
        <v>0</v>
      </c>
      <c r="R417" s="46">
        <f t="shared" ca="1" si="280"/>
        <v>0</v>
      </c>
      <c r="S417" s="46">
        <f t="shared" ca="1" si="280"/>
        <v>0</v>
      </c>
      <c r="T417" s="46">
        <f t="shared" ca="1" si="275"/>
        <v>0</v>
      </c>
      <c r="U417" s="46">
        <f t="shared" ca="1" si="276"/>
        <v>0</v>
      </c>
    </row>
    <row r="418" spans="1:21" ht="18.75" hidden="1" x14ac:dyDescent="0.25">
      <c r="A418" s="128"/>
      <c r="B418" s="159"/>
      <c r="C418" s="159"/>
      <c r="D418" s="159"/>
      <c r="E418" s="455" t="s">
        <v>158</v>
      </c>
      <c r="F418" s="159"/>
      <c r="G418" s="193"/>
      <c r="H418" s="189" t="s">
        <v>14</v>
      </c>
      <c r="I418" s="44"/>
      <c r="J418" s="44"/>
      <c r="K418" s="45"/>
      <c r="L418" s="521">
        <v>0</v>
      </c>
      <c r="M418" s="48">
        <v>0</v>
      </c>
      <c r="N418" s="48">
        <v>0</v>
      </c>
      <c r="O418" s="48">
        <f t="shared" si="272"/>
        <v>0</v>
      </c>
      <c r="P418" s="48">
        <f t="shared" si="273"/>
        <v>0</v>
      </c>
      <c r="Q418" s="48">
        <v>0</v>
      </c>
      <c r="R418" s="48">
        <v>0</v>
      </c>
      <c r="S418" s="48">
        <v>0</v>
      </c>
      <c r="T418" s="48">
        <f t="shared" si="275"/>
        <v>0</v>
      </c>
      <c r="U418" s="48">
        <f t="shared" si="276"/>
        <v>0</v>
      </c>
    </row>
    <row r="419" spans="1:21" ht="18.75" hidden="1" x14ac:dyDescent="0.25">
      <c r="A419" s="128"/>
      <c r="B419" s="159"/>
      <c r="C419" s="159"/>
      <c r="D419" s="159"/>
      <c r="E419" s="440" t="s">
        <v>159</v>
      </c>
      <c r="F419" s="159"/>
      <c r="G419" s="193"/>
      <c r="H419" s="188" t="s">
        <v>14</v>
      </c>
      <c r="I419" s="44"/>
      <c r="J419" s="44"/>
      <c r="K419" s="45"/>
      <c r="L419" s="519">
        <v>0</v>
      </c>
      <c r="M419" s="46">
        <v>0</v>
      </c>
      <c r="N419" s="46">
        <v>0</v>
      </c>
      <c r="O419" s="46">
        <f t="shared" si="272"/>
        <v>0</v>
      </c>
      <c r="P419" s="46">
        <f t="shared" si="273"/>
        <v>0</v>
      </c>
      <c r="Q419" s="46">
        <f ca="1">IFERROR(__xludf.DUMMYFUNCTION("IMPORTRANGE(""https://docs.google.com/spreadsheets/d/1ItG2mGa2ceCfYo0BwxsXqNm01IGEUdYcSSLTEv9YCik/edit?usp=sharing"",""เบิกจ่ายกองทุน!BH82"")"),0)</f>
        <v>0</v>
      </c>
      <c r="R419" s="46">
        <f ca="1">IFERROR(__xludf.DUMMYFUNCTION("IMPORTRANGE(""https://docs.google.com/spreadsheets/d/1ItG2mGa2ceCfYo0BwxsXqNm01IGEUdYcSSLTEv9YCik/edit?usp=sharing"",""เบิกจ่ายกองทุน!BI82"")"),0)</f>
        <v>0</v>
      </c>
      <c r="S419" s="46">
        <f ca="1">IFERROR(__xludf.DUMMYFUNCTION("IMPORTRANGE(""https://docs.google.com/spreadsheets/d/1ItG2mGa2ceCfYo0BwxsXqNm01IGEUdYcSSLTEv9YCik/edit?usp=sharing"",""เบิกจ่ายกองทุน!BJ82"")"),0)</f>
        <v>0</v>
      </c>
      <c r="T419" s="46">
        <f t="shared" ca="1" si="275"/>
        <v>0</v>
      </c>
      <c r="U419" s="46">
        <f t="shared" ca="1" si="276"/>
        <v>0</v>
      </c>
    </row>
    <row r="420" spans="1:21" ht="19.5" hidden="1" x14ac:dyDescent="0.3">
      <c r="A420" s="128"/>
      <c r="B420" s="159"/>
      <c r="C420" s="159"/>
      <c r="D420" s="686" t="s">
        <v>23</v>
      </c>
      <c r="E420" s="159"/>
      <c r="F420" s="159"/>
      <c r="G420" s="193"/>
      <c r="H420" s="131" t="s">
        <v>14</v>
      </c>
      <c r="I420" s="44"/>
      <c r="J420" s="44"/>
      <c r="K420" s="45"/>
      <c r="L420" s="519">
        <f t="shared" ref="L420:N420" si="281">L421+L422</f>
        <v>0</v>
      </c>
      <c r="M420" s="46">
        <f t="shared" si="281"/>
        <v>0</v>
      </c>
      <c r="N420" s="46">
        <f t="shared" si="281"/>
        <v>0</v>
      </c>
      <c r="O420" s="46">
        <f t="shared" si="272"/>
        <v>0</v>
      </c>
      <c r="P420" s="46">
        <f t="shared" si="273"/>
        <v>0</v>
      </c>
      <c r="Q420" s="46">
        <f t="shared" ref="Q420:S420" si="282">Q421+Q422</f>
        <v>0</v>
      </c>
      <c r="R420" s="46">
        <f t="shared" si="282"/>
        <v>0</v>
      </c>
      <c r="S420" s="46">
        <f t="shared" si="282"/>
        <v>0</v>
      </c>
      <c r="T420" s="46">
        <f t="shared" si="275"/>
        <v>0</v>
      </c>
      <c r="U420" s="46">
        <f t="shared" si="276"/>
        <v>0</v>
      </c>
    </row>
    <row r="421" spans="1:21" ht="18.75" hidden="1" x14ac:dyDescent="0.25">
      <c r="A421" s="128"/>
      <c r="B421" s="159"/>
      <c r="C421" s="159"/>
      <c r="D421" s="159"/>
      <c r="E421" s="455" t="s">
        <v>20</v>
      </c>
      <c r="F421" s="159"/>
      <c r="G421" s="193"/>
      <c r="H421" s="189" t="s">
        <v>14</v>
      </c>
      <c r="I421" s="44"/>
      <c r="J421" s="44"/>
      <c r="K421" s="45"/>
      <c r="L421" s="521">
        <v>0</v>
      </c>
      <c r="M421" s="48">
        <v>0</v>
      </c>
      <c r="N421" s="48">
        <v>0</v>
      </c>
      <c r="O421" s="48">
        <f t="shared" si="272"/>
        <v>0</v>
      </c>
      <c r="P421" s="48">
        <f t="shared" si="273"/>
        <v>0</v>
      </c>
      <c r="Q421" s="48">
        <v>0</v>
      </c>
      <c r="R421" s="48">
        <v>0</v>
      </c>
      <c r="S421" s="48">
        <v>0</v>
      </c>
      <c r="T421" s="48">
        <f t="shared" si="275"/>
        <v>0</v>
      </c>
      <c r="U421" s="48">
        <f t="shared" si="276"/>
        <v>0</v>
      </c>
    </row>
    <row r="422" spans="1:21" ht="18.75" hidden="1" x14ac:dyDescent="0.25">
      <c r="A422" s="128"/>
      <c r="B422" s="159"/>
      <c r="C422" s="159"/>
      <c r="D422" s="159"/>
      <c r="E422" s="440" t="s">
        <v>21</v>
      </c>
      <c r="F422" s="159"/>
      <c r="G422" s="193"/>
      <c r="H422" s="133" t="s">
        <v>14</v>
      </c>
      <c r="I422" s="44"/>
      <c r="J422" s="44"/>
      <c r="K422" s="45"/>
      <c r="L422" s="519">
        <v>0</v>
      </c>
      <c r="M422" s="46">
        <v>0</v>
      </c>
      <c r="N422" s="46">
        <v>0</v>
      </c>
      <c r="O422" s="46">
        <f t="shared" si="272"/>
        <v>0</v>
      </c>
      <c r="P422" s="46">
        <f t="shared" si="273"/>
        <v>0</v>
      </c>
      <c r="Q422" s="46">
        <v>0</v>
      </c>
      <c r="R422" s="46">
        <v>0</v>
      </c>
      <c r="S422" s="46">
        <v>0</v>
      </c>
      <c r="T422" s="46">
        <f t="shared" si="275"/>
        <v>0</v>
      </c>
      <c r="U422" s="46">
        <f t="shared" si="276"/>
        <v>0</v>
      </c>
    </row>
    <row r="423" spans="1:21" ht="19.5" hidden="1" x14ac:dyDescent="0.3">
      <c r="A423" s="224"/>
      <c r="B423" s="159"/>
      <c r="C423" s="348" t="s">
        <v>18</v>
      </c>
      <c r="D423" s="696" t="s">
        <v>38</v>
      </c>
      <c r="E423" s="159"/>
      <c r="F423" s="159"/>
      <c r="G423" s="193"/>
      <c r="H423" s="193"/>
      <c r="I423" s="44"/>
      <c r="J423" s="44"/>
      <c r="K423" s="45"/>
      <c r="L423" s="522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hidden="1" x14ac:dyDescent="0.3">
      <c r="A424" s="224"/>
      <c r="B424" s="351" t="s">
        <v>160</v>
      </c>
      <c r="C424" s="159"/>
      <c r="D424" s="159"/>
      <c r="E424" s="159"/>
      <c r="F424" s="159"/>
      <c r="G424" s="193"/>
      <c r="H424" s="349" t="s">
        <v>46</v>
      </c>
      <c r="I424" s="147">
        <f t="shared" ref="I424:J424" ca="1" si="283">I441</f>
        <v>0</v>
      </c>
      <c r="J424" s="147">
        <f t="shared" si="283"/>
        <v>0</v>
      </c>
      <c r="K424" s="132">
        <f t="shared" ref="K424:K426" ca="1" si="284">IF(I424&gt;0,J424*100/I424,0)</f>
        <v>0</v>
      </c>
      <c r="L424" s="522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24"/>
      <c r="B425" s="159"/>
      <c r="C425" s="351" t="s">
        <v>161</v>
      </c>
      <c r="D425" s="159"/>
      <c r="E425" s="159"/>
      <c r="F425" s="159"/>
      <c r="G425" s="193"/>
      <c r="H425" s="131" t="s">
        <v>46</v>
      </c>
      <c r="I425" s="147">
        <f ca="1">IFERROR(__xludf.DUMMYFUNCTION("IMPORTRANGE(""https://docs.google.com/spreadsheets/d/1eHaY18a8A9IcSdp1K8H6x8fbOy06t2VsZHhMHf-1x7Y/edit?usp=sharing"",""แผน!HJ82"")"),0)</f>
        <v>0</v>
      </c>
      <c r="J425" s="147">
        <f t="shared" ref="J425:J426" si="285">J427+J429+J431</f>
        <v>0</v>
      </c>
      <c r="K425" s="132">
        <f t="shared" ca="1" si="284"/>
        <v>0</v>
      </c>
      <c r="L425" s="522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9.5" hidden="1" x14ac:dyDescent="0.3">
      <c r="A426" s="224"/>
      <c r="B426" s="159"/>
      <c r="C426" s="159"/>
      <c r="D426" s="159"/>
      <c r="E426" s="159"/>
      <c r="F426" s="159"/>
      <c r="G426" s="193"/>
      <c r="H426" s="131" t="s">
        <v>34</v>
      </c>
      <c r="I426" s="147">
        <f ca="1">IFERROR(__xludf.DUMMYFUNCTION("IMPORTRANGE(""https://docs.google.com/spreadsheets/d/1eHaY18a8A9IcSdp1K8H6x8fbOy06t2VsZHhMHf-1x7Y/edit?usp=sharing"",""แผน!HK82"")"),0)</f>
        <v>0</v>
      </c>
      <c r="J426" s="147">
        <f t="shared" si="285"/>
        <v>0</v>
      </c>
      <c r="K426" s="132">
        <f t="shared" ca="1" si="284"/>
        <v>0</v>
      </c>
      <c r="L426" s="522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24"/>
      <c r="B427" s="159"/>
      <c r="C427" s="159"/>
      <c r="D427" s="440" t="s">
        <v>162</v>
      </c>
      <c r="E427" s="159"/>
      <c r="F427" s="159"/>
      <c r="G427" s="193"/>
      <c r="H427" s="133" t="s">
        <v>46</v>
      </c>
      <c r="I427" s="44"/>
      <c r="J427" s="44"/>
      <c r="K427" s="45"/>
      <c r="L427" s="522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24"/>
      <c r="B428" s="159"/>
      <c r="C428" s="159"/>
      <c r="D428" s="159"/>
      <c r="E428" s="159"/>
      <c r="F428" s="159"/>
      <c r="G428" s="193"/>
      <c r="H428" s="133" t="s">
        <v>34</v>
      </c>
      <c r="I428" s="44"/>
      <c r="J428" s="44"/>
      <c r="K428" s="45"/>
      <c r="L428" s="522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24"/>
      <c r="B429" s="159"/>
      <c r="C429" s="159"/>
      <c r="D429" s="440" t="s">
        <v>163</v>
      </c>
      <c r="E429" s="159"/>
      <c r="F429" s="159"/>
      <c r="G429" s="193"/>
      <c r="H429" s="133" t="s">
        <v>46</v>
      </c>
      <c r="I429" s="44"/>
      <c r="J429" s="44"/>
      <c r="K429" s="45"/>
      <c r="L429" s="522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24"/>
      <c r="B430" s="159"/>
      <c r="C430" s="159"/>
      <c r="D430" s="159"/>
      <c r="E430" s="159"/>
      <c r="F430" s="159"/>
      <c r="G430" s="193"/>
      <c r="H430" s="133" t="s">
        <v>34</v>
      </c>
      <c r="I430" s="44"/>
      <c r="J430" s="44"/>
      <c r="K430" s="45"/>
      <c r="L430" s="522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24"/>
      <c r="B431" s="159"/>
      <c r="C431" s="159"/>
      <c r="D431" s="440" t="s">
        <v>164</v>
      </c>
      <c r="E431" s="159"/>
      <c r="F431" s="159"/>
      <c r="G431" s="193"/>
      <c r="H431" s="133" t="s">
        <v>46</v>
      </c>
      <c r="I431" s="44"/>
      <c r="J431" s="44"/>
      <c r="K431" s="45"/>
      <c r="L431" s="522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8.75" hidden="1" x14ac:dyDescent="0.25">
      <c r="A432" s="224"/>
      <c r="B432" s="159"/>
      <c r="C432" s="159"/>
      <c r="D432" s="159"/>
      <c r="E432" s="159"/>
      <c r="F432" s="159"/>
      <c r="G432" s="193"/>
      <c r="H432" s="133" t="s">
        <v>34</v>
      </c>
      <c r="I432" s="44"/>
      <c r="J432" s="44"/>
      <c r="K432" s="45"/>
      <c r="L432" s="522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24"/>
      <c r="B433" s="159"/>
      <c r="C433" s="351" t="s">
        <v>165</v>
      </c>
      <c r="D433" s="159"/>
      <c r="E433" s="159"/>
      <c r="F433" s="159"/>
      <c r="G433" s="193"/>
      <c r="H433" s="131" t="s">
        <v>46</v>
      </c>
      <c r="I433" s="147">
        <f ca="1">IFERROR(__xludf.DUMMYFUNCTION("IMPORTRANGE(""https://docs.google.com/spreadsheets/d/1eHaY18a8A9IcSdp1K8H6x8fbOy06t2VsZHhMHf-1x7Y/edit?usp=sharing"",""แผน!HJ82"")"),0)</f>
        <v>0</v>
      </c>
      <c r="J433" s="147">
        <f t="shared" ref="J433:J434" si="286">J435+J437+J439</f>
        <v>0</v>
      </c>
      <c r="K433" s="132">
        <f t="shared" ref="K433:K434" ca="1" si="287">IF(I433&gt;0,J433*100/I433,0)</f>
        <v>0</v>
      </c>
      <c r="L433" s="522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9.5" hidden="1" x14ac:dyDescent="0.3">
      <c r="A434" s="224"/>
      <c r="B434" s="159"/>
      <c r="C434" s="159"/>
      <c r="D434" s="159"/>
      <c r="E434" s="159"/>
      <c r="F434" s="159"/>
      <c r="G434" s="193"/>
      <c r="H434" s="131" t="s">
        <v>34</v>
      </c>
      <c r="I434" s="147">
        <f ca="1">IFERROR(__xludf.DUMMYFUNCTION("IMPORTRANGE(""https://docs.google.com/spreadsheets/d/1eHaY18a8A9IcSdp1K8H6x8fbOy06t2VsZHhMHf-1x7Y/edit?usp=sharing"",""แผน!HK82"")"),0)</f>
        <v>0</v>
      </c>
      <c r="J434" s="147">
        <f t="shared" si="286"/>
        <v>0</v>
      </c>
      <c r="K434" s="132">
        <f t="shared" ca="1" si="287"/>
        <v>0</v>
      </c>
      <c r="L434" s="522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24"/>
      <c r="B435" s="159"/>
      <c r="C435" s="159"/>
      <c r="D435" s="440" t="s">
        <v>166</v>
      </c>
      <c r="E435" s="159"/>
      <c r="F435" s="159"/>
      <c r="G435" s="193"/>
      <c r="H435" s="133" t="s">
        <v>46</v>
      </c>
      <c r="I435" s="44"/>
      <c r="J435" s="44"/>
      <c r="K435" s="45"/>
      <c r="L435" s="522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24"/>
      <c r="B436" s="159"/>
      <c r="C436" s="159"/>
      <c r="D436" s="159"/>
      <c r="E436" s="159"/>
      <c r="F436" s="159"/>
      <c r="G436" s="193"/>
      <c r="H436" s="133" t="s">
        <v>34</v>
      </c>
      <c r="I436" s="44"/>
      <c r="J436" s="44"/>
      <c r="K436" s="45"/>
      <c r="L436" s="522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24"/>
      <c r="B437" s="159"/>
      <c r="C437" s="159"/>
      <c r="D437" s="440" t="s">
        <v>167</v>
      </c>
      <c r="E437" s="159"/>
      <c r="F437" s="159"/>
      <c r="G437" s="193"/>
      <c r="H437" s="133" t="s">
        <v>46</v>
      </c>
      <c r="I437" s="44"/>
      <c r="J437" s="44"/>
      <c r="K437" s="45"/>
      <c r="L437" s="522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24"/>
      <c r="B438" s="159"/>
      <c r="C438" s="159"/>
      <c r="D438" s="159"/>
      <c r="E438" s="159"/>
      <c r="F438" s="159"/>
      <c r="G438" s="193"/>
      <c r="H438" s="133" t="s">
        <v>34</v>
      </c>
      <c r="I438" s="44"/>
      <c r="J438" s="44"/>
      <c r="K438" s="45"/>
      <c r="L438" s="522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24"/>
      <c r="B439" s="159"/>
      <c r="C439" s="159"/>
      <c r="D439" s="440" t="s">
        <v>168</v>
      </c>
      <c r="E439" s="159"/>
      <c r="F439" s="159"/>
      <c r="G439" s="193"/>
      <c r="H439" s="133" t="s">
        <v>46</v>
      </c>
      <c r="I439" s="44"/>
      <c r="J439" s="44"/>
      <c r="K439" s="45"/>
      <c r="L439" s="522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8.75" hidden="1" x14ac:dyDescent="0.25">
      <c r="A440" s="224"/>
      <c r="B440" s="159"/>
      <c r="C440" s="159"/>
      <c r="D440" s="159"/>
      <c r="E440" s="159"/>
      <c r="F440" s="159"/>
      <c r="G440" s="193"/>
      <c r="H440" s="133" t="s">
        <v>34</v>
      </c>
      <c r="I440" s="44"/>
      <c r="J440" s="44"/>
      <c r="K440" s="45"/>
      <c r="L440" s="522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24"/>
      <c r="B441" s="159"/>
      <c r="C441" s="351" t="s">
        <v>169</v>
      </c>
      <c r="D441" s="159"/>
      <c r="E441" s="159"/>
      <c r="F441" s="159"/>
      <c r="G441" s="193"/>
      <c r="H441" s="131" t="s">
        <v>46</v>
      </c>
      <c r="I441" s="147">
        <f ca="1">IFERROR(__xludf.DUMMYFUNCTION("IMPORTRANGE(""https://docs.google.com/spreadsheets/d/1eHaY18a8A9IcSdp1K8H6x8fbOy06t2VsZHhMHf-1x7Y/edit?usp=sharing"",""แผน!HJ82"")"),0)</f>
        <v>0</v>
      </c>
      <c r="J441" s="147">
        <f t="shared" ref="J441:J442" si="288">J443+J445+J447+J453+J455</f>
        <v>0</v>
      </c>
      <c r="K441" s="132">
        <f t="shared" ref="K441:K442" ca="1" si="289">IF(I441&gt;0,J441*100/I441,0)</f>
        <v>0</v>
      </c>
      <c r="L441" s="522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9.5" hidden="1" x14ac:dyDescent="0.3">
      <c r="A442" s="224"/>
      <c r="B442" s="159"/>
      <c r="C442" s="159"/>
      <c r="D442" s="159"/>
      <c r="E442" s="159"/>
      <c r="F442" s="159"/>
      <c r="G442" s="193"/>
      <c r="H442" s="131" t="s">
        <v>34</v>
      </c>
      <c r="I442" s="147">
        <f ca="1">IFERROR(__xludf.DUMMYFUNCTION("IMPORTRANGE(""https://docs.google.com/spreadsheets/d/1eHaY18a8A9IcSdp1K8H6x8fbOy06t2VsZHhMHf-1x7Y/edit?usp=sharing"",""แผน!HK82"")"),0)</f>
        <v>0</v>
      </c>
      <c r="J442" s="147">
        <f t="shared" si="288"/>
        <v>0</v>
      </c>
      <c r="K442" s="132">
        <f t="shared" ca="1" si="289"/>
        <v>0</v>
      </c>
      <c r="L442" s="522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24"/>
      <c r="B443" s="159"/>
      <c r="C443" s="159"/>
      <c r="D443" s="440" t="s">
        <v>170</v>
      </c>
      <c r="E443" s="159"/>
      <c r="F443" s="159"/>
      <c r="G443" s="193"/>
      <c r="H443" s="133" t="s">
        <v>46</v>
      </c>
      <c r="I443" s="44"/>
      <c r="J443" s="44"/>
      <c r="K443" s="45"/>
      <c r="L443" s="522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24"/>
      <c r="B444" s="159"/>
      <c r="C444" s="159"/>
      <c r="D444" s="159"/>
      <c r="E444" s="159"/>
      <c r="F444" s="159"/>
      <c r="G444" s="193"/>
      <c r="H444" s="133" t="s">
        <v>34</v>
      </c>
      <c r="I444" s="44"/>
      <c r="J444" s="44"/>
      <c r="K444" s="45"/>
      <c r="L444" s="522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24"/>
      <c r="B445" s="159"/>
      <c r="C445" s="159"/>
      <c r="D445" s="440" t="s">
        <v>171</v>
      </c>
      <c r="E445" s="159"/>
      <c r="F445" s="159"/>
      <c r="G445" s="193"/>
      <c r="H445" s="133" t="s">
        <v>46</v>
      </c>
      <c r="I445" s="44"/>
      <c r="J445" s="44"/>
      <c r="K445" s="45"/>
      <c r="L445" s="522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8.75" hidden="1" x14ac:dyDescent="0.25">
      <c r="A446" s="224"/>
      <c r="B446" s="159"/>
      <c r="C446" s="159"/>
      <c r="D446" s="159"/>
      <c r="E446" s="159"/>
      <c r="F446" s="159"/>
      <c r="G446" s="193"/>
      <c r="H446" s="133" t="s">
        <v>34</v>
      </c>
      <c r="I446" s="44"/>
      <c r="J446" s="44"/>
      <c r="K446" s="45"/>
      <c r="L446" s="522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24"/>
      <c r="B447" s="159"/>
      <c r="C447" s="159"/>
      <c r="D447" s="440" t="s">
        <v>172</v>
      </c>
      <c r="E447" s="159"/>
      <c r="F447" s="159"/>
      <c r="G447" s="193"/>
      <c r="H447" s="133" t="s">
        <v>46</v>
      </c>
      <c r="I447" s="44"/>
      <c r="J447" s="147">
        <f t="shared" ref="J447:J448" si="290">J449+J451</f>
        <v>0</v>
      </c>
      <c r="K447" s="45"/>
      <c r="L447" s="522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9.5" hidden="1" x14ac:dyDescent="0.3">
      <c r="A448" s="224"/>
      <c r="B448" s="159"/>
      <c r="C448" s="159"/>
      <c r="D448" s="159"/>
      <c r="E448" s="159"/>
      <c r="F448" s="159"/>
      <c r="G448" s="193"/>
      <c r="H448" s="133" t="s">
        <v>34</v>
      </c>
      <c r="I448" s="44"/>
      <c r="J448" s="147">
        <f t="shared" si="290"/>
        <v>0</v>
      </c>
      <c r="K448" s="45"/>
      <c r="L448" s="522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24"/>
      <c r="B449" s="159"/>
      <c r="C449" s="159"/>
      <c r="D449" s="159"/>
      <c r="E449" s="440" t="s">
        <v>173</v>
      </c>
      <c r="F449" s="159"/>
      <c r="G449" s="193"/>
      <c r="H449" s="133" t="s">
        <v>46</v>
      </c>
      <c r="I449" s="44"/>
      <c r="J449" s="44"/>
      <c r="K449" s="45"/>
      <c r="L449" s="522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24"/>
      <c r="B450" s="159"/>
      <c r="C450" s="159"/>
      <c r="D450" s="159"/>
      <c r="E450" s="159"/>
      <c r="F450" s="159"/>
      <c r="G450" s="193"/>
      <c r="H450" s="133" t="s">
        <v>34</v>
      </c>
      <c r="I450" s="44"/>
      <c r="J450" s="44"/>
      <c r="K450" s="45"/>
      <c r="L450" s="522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24"/>
      <c r="B451" s="159"/>
      <c r="C451" s="159"/>
      <c r="D451" s="159"/>
      <c r="E451" s="440" t="s">
        <v>174</v>
      </c>
      <c r="F451" s="159"/>
      <c r="G451" s="193"/>
      <c r="H451" s="133" t="s">
        <v>46</v>
      </c>
      <c r="I451" s="44"/>
      <c r="J451" s="44"/>
      <c r="K451" s="45"/>
      <c r="L451" s="522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24"/>
      <c r="B452" s="159"/>
      <c r="C452" s="159"/>
      <c r="D452" s="159"/>
      <c r="E452" s="159"/>
      <c r="F452" s="159"/>
      <c r="G452" s="193"/>
      <c r="H452" s="133" t="s">
        <v>34</v>
      </c>
      <c r="I452" s="44"/>
      <c r="J452" s="44"/>
      <c r="K452" s="45"/>
      <c r="L452" s="522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24"/>
      <c r="B453" s="159"/>
      <c r="C453" s="159"/>
      <c r="D453" s="440" t="s">
        <v>175</v>
      </c>
      <c r="E453" s="159"/>
      <c r="F453" s="159"/>
      <c r="G453" s="193"/>
      <c r="H453" s="133" t="s">
        <v>46</v>
      </c>
      <c r="I453" s="44"/>
      <c r="J453" s="44"/>
      <c r="K453" s="45"/>
      <c r="L453" s="522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24"/>
      <c r="B454" s="159"/>
      <c r="C454" s="159"/>
      <c r="D454" s="159"/>
      <c r="E454" s="159"/>
      <c r="F454" s="159"/>
      <c r="G454" s="193"/>
      <c r="H454" s="133" t="s">
        <v>34</v>
      </c>
      <c r="I454" s="44"/>
      <c r="J454" s="44"/>
      <c r="K454" s="45"/>
      <c r="L454" s="522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24"/>
      <c r="B455" s="159"/>
      <c r="C455" s="159"/>
      <c r="D455" s="440" t="s">
        <v>176</v>
      </c>
      <c r="E455" s="159"/>
      <c r="F455" s="159"/>
      <c r="G455" s="193"/>
      <c r="H455" s="133" t="s">
        <v>46</v>
      </c>
      <c r="I455" s="44"/>
      <c r="J455" s="697"/>
      <c r="K455" s="45"/>
      <c r="L455" s="522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8.75" hidden="1" x14ac:dyDescent="0.25">
      <c r="A456" s="224"/>
      <c r="B456" s="159"/>
      <c r="C456" s="159"/>
      <c r="D456" s="159"/>
      <c r="E456" s="159"/>
      <c r="F456" s="159"/>
      <c r="G456" s="193"/>
      <c r="H456" s="133" t="s">
        <v>34</v>
      </c>
      <c r="I456" s="44"/>
      <c r="J456" s="44"/>
      <c r="K456" s="45"/>
      <c r="L456" s="522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hidden="1" x14ac:dyDescent="0.3">
      <c r="A457" s="224"/>
      <c r="B457" s="351" t="s">
        <v>177</v>
      </c>
      <c r="C457" s="159"/>
      <c r="D457" s="159"/>
      <c r="E457" s="159"/>
      <c r="F457" s="159"/>
      <c r="G457" s="193"/>
      <c r="H457" s="349" t="s">
        <v>46</v>
      </c>
      <c r="I457" s="147">
        <f t="shared" ref="I457:J457" ca="1" si="291">I458</f>
        <v>0</v>
      </c>
      <c r="J457" s="147">
        <f t="shared" si="291"/>
        <v>0</v>
      </c>
      <c r="K457" s="132">
        <f t="shared" ref="K457:K459" ca="1" si="292">IF(I457&gt;0,J457*100/I457,0)</f>
        <v>0</v>
      </c>
      <c r="L457" s="522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24"/>
      <c r="B458" s="159"/>
      <c r="C458" s="351" t="s">
        <v>178</v>
      </c>
      <c r="D458" s="159"/>
      <c r="E458" s="159"/>
      <c r="F458" s="159"/>
      <c r="G458" s="193"/>
      <c r="H458" s="131" t="s">
        <v>46</v>
      </c>
      <c r="I458" s="147">
        <f ca="1">IFERROR(__xludf.DUMMYFUNCTION("IMPORTRANGE(""https://docs.google.com/spreadsheets/d/1eHaY18a8A9IcSdp1K8H6x8fbOy06t2VsZHhMHf-1x7Y/edit?usp=sharing"",""แผน!HL82"")"),0)</f>
        <v>0</v>
      </c>
      <c r="J458" s="147">
        <f t="shared" ref="J458:J459" si="293">J460+J468+J474</f>
        <v>0</v>
      </c>
      <c r="K458" s="132">
        <f t="shared" ca="1" si="292"/>
        <v>0</v>
      </c>
      <c r="L458" s="522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9.5" hidden="1" x14ac:dyDescent="0.3">
      <c r="A459" s="224"/>
      <c r="B459" s="159"/>
      <c r="C459" s="159"/>
      <c r="D459" s="159"/>
      <c r="E459" s="159"/>
      <c r="F459" s="159"/>
      <c r="G459" s="193"/>
      <c r="H459" s="131" t="s">
        <v>34</v>
      </c>
      <c r="I459" s="147">
        <f ca="1">IFERROR(__xludf.DUMMYFUNCTION("IMPORTRANGE(""https://docs.google.com/spreadsheets/d/1eHaY18a8A9IcSdp1K8H6x8fbOy06t2VsZHhMHf-1x7Y/edit?usp=sharing"",""แผน!HM82"")"),0)</f>
        <v>0</v>
      </c>
      <c r="J459" s="147">
        <f t="shared" si="293"/>
        <v>0</v>
      </c>
      <c r="K459" s="132">
        <f t="shared" ca="1" si="292"/>
        <v>0</v>
      </c>
      <c r="L459" s="522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24"/>
      <c r="B460" s="159"/>
      <c r="C460" s="440" t="s">
        <v>179</v>
      </c>
      <c r="D460" s="159"/>
      <c r="E460" s="159"/>
      <c r="F460" s="159"/>
      <c r="G460" s="193"/>
      <c r="H460" s="133" t="s">
        <v>46</v>
      </c>
      <c r="I460" s="44"/>
      <c r="J460" s="152">
        <f t="shared" ref="J460:J461" si="294">J462+J464</f>
        <v>0</v>
      </c>
      <c r="K460" s="45"/>
      <c r="L460" s="522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24"/>
      <c r="B461" s="159"/>
      <c r="C461" s="159"/>
      <c r="D461" s="159"/>
      <c r="E461" s="159"/>
      <c r="F461" s="159"/>
      <c r="G461" s="193"/>
      <c r="H461" s="133" t="s">
        <v>34</v>
      </c>
      <c r="I461" s="44"/>
      <c r="J461" s="152">
        <f t="shared" si="294"/>
        <v>0</v>
      </c>
      <c r="K461" s="45"/>
      <c r="L461" s="522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24"/>
      <c r="B462" s="159"/>
      <c r="C462" s="159"/>
      <c r="D462" s="353" t="s">
        <v>180</v>
      </c>
      <c r="E462" s="159"/>
      <c r="F462" s="159"/>
      <c r="G462" s="193"/>
      <c r="H462" s="133" t="s">
        <v>46</v>
      </c>
      <c r="I462" s="44"/>
      <c r="J462" s="44"/>
      <c r="K462" s="45"/>
      <c r="L462" s="522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24"/>
      <c r="B463" s="159"/>
      <c r="C463" s="159"/>
      <c r="D463" s="159"/>
      <c r="E463" s="159"/>
      <c r="F463" s="159"/>
      <c r="G463" s="193"/>
      <c r="H463" s="133" t="s">
        <v>34</v>
      </c>
      <c r="I463" s="44"/>
      <c r="J463" s="44"/>
      <c r="K463" s="45"/>
      <c r="L463" s="522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24"/>
      <c r="B464" s="159"/>
      <c r="C464" s="159"/>
      <c r="D464" s="353" t="s">
        <v>181</v>
      </c>
      <c r="E464" s="159"/>
      <c r="F464" s="159"/>
      <c r="G464" s="193"/>
      <c r="H464" s="133" t="s">
        <v>46</v>
      </c>
      <c r="I464" s="44"/>
      <c r="J464" s="44"/>
      <c r="K464" s="45"/>
      <c r="L464" s="522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24"/>
      <c r="B465" s="159"/>
      <c r="C465" s="159"/>
      <c r="D465" s="159"/>
      <c r="E465" s="159"/>
      <c r="F465" s="159"/>
      <c r="G465" s="193"/>
      <c r="H465" s="133" t="s">
        <v>34</v>
      </c>
      <c r="I465" s="44"/>
      <c r="J465" s="44"/>
      <c r="K465" s="45"/>
      <c r="L465" s="522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24"/>
      <c r="B466" s="159"/>
      <c r="C466" s="159"/>
      <c r="D466" s="353" t="s">
        <v>182</v>
      </c>
      <c r="E466" s="159"/>
      <c r="F466" s="159"/>
      <c r="G466" s="193"/>
      <c r="H466" s="133" t="s">
        <v>46</v>
      </c>
      <c r="I466" s="44"/>
      <c r="J466" s="44"/>
      <c r="K466" s="45"/>
      <c r="L466" s="522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24"/>
      <c r="B467" s="159"/>
      <c r="C467" s="159"/>
      <c r="D467" s="159"/>
      <c r="E467" s="159"/>
      <c r="F467" s="159"/>
      <c r="G467" s="193"/>
      <c r="H467" s="133" t="s">
        <v>34</v>
      </c>
      <c r="I467" s="44"/>
      <c r="J467" s="44"/>
      <c r="K467" s="45"/>
      <c r="L467" s="522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24"/>
      <c r="B468" s="159"/>
      <c r="C468" s="353" t="s">
        <v>183</v>
      </c>
      <c r="D468" s="159"/>
      <c r="E468" s="159"/>
      <c r="F468" s="159"/>
      <c r="G468" s="193"/>
      <c r="H468" s="133" t="s">
        <v>46</v>
      </c>
      <c r="I468" s="44"/>
      <c r="J468" s="152">
        <f t="shared" ref="J468:J469" si="295">J470+J472</f>
        <v>0</v>
      </c>
      <c r="K468" s="45"/>
      <c r="L468" s="522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24"/>
      <c r="B469" s="159"/>
      <c r="C469" s="159"/>
      <c r="D469" s="159"/>
      <c r="E469" s="159"/>
      <c r="F469" s="159"/>
      <c r="G469" s="193"/>
      <c r="H469" s="133" t="s">
        <v>34</v>
      </c>
      <c r="I469" s="44"/>
      <c r="J469" s="152">
        <f t="shared" si="295"/>
        <v>0</v>
      </c>
      <c r="K469" s="45"/>
      <c r="L469" s="522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24"/>
      <c r="B470" s="159"/>
      <c r="C470" s="159"/>
      <c r="D470" s="353" t="s">
        <v>184</v>
      </c>
      <c r="E470" s="159"/>
      <c r="F470" s="159"/>
      <c r="G470" s="193"/>
      <c r="H470" s="133" t="s">
        <v>46</v>
      </c>
      <c r="I470" s="44"/>
      <c r="J470" s="44"/>
      <c r="K470" s="45"/>
      <c r="L470" s="522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24"/>
      <c r="B471" s="159"/>
      <c r="C471" s="159"/>
      <c r="D471" s="159"/>
      <c r="E471" s="159"/>
      <c r="F471" s="159"/>
      <c r="G471" s="193"/>
      <c r="H471" s="133" t="s">
        <v>34</v>
      </c>
      <c r="I471" s="44"/>
      <c r="J471" s="44"/>
      <c r="K471" s="45"/>
      <c r="L471" s="522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24"/>
      <c r="B472" s="159"/>
      <c r="C472" s="159"/>
      <c r="D472" s="353" t="s">
        <v>185</v>
      </c>
      <c r="E472" s="159"/>
      <c r="F472" s="159"/>
      <c r="G472" s="193"/>
      <c r="H472" s="133" t="s">
        <v>46</v>
      </c>
      <c r="I472" s="44"/>
      <c r="J472" s="44"/>
      <c r="K472" s="45"/>
      <c r="L472" s="522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24"/>
      <c r="B473" s="159"/>
      <c r="C473" s="159"/>
      <c r="D473" s="159"/>
      <c r="E473" s="159"/>
      <c r="F473" s="159"/>
      <c r="G473" s="193"/>
      <c r="H473" s="133" t="s">
        <v>34</v>
      </c>
      <c r="I473" s="44"/>
      <c r="J473" s="44"/>
      <c r="K473" s="45"/>
      <c r="L473" s="522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24"/>
      <c r="B474" s="159"/>
      <c r="C474" s="440" t="s">
        <v>186</v>
      </c>
      <c r="D474" s="159"/>
      <c r="E474" s="159"/>
      <c r="F474" s="159"/>
      <c r="G474" s="193"/>
      <c r="H474" s="133" t="s">
        <v>46</v>
      </c>
      <c r="I474" s="44"/>
      <c r="J474" s="44"/>
      <c r="K474" s="45"/>
      <c r="L474" s="522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8.75" hidden="1" x14ac:dyDescent="0.25">
      <c r="A475" s="224"/>
      <c r="B475" s="159"/>
      <c r="C475" s="159"/>
      <c r="D475" s="159"/>
      <c r="E475" s="159"/>
      <c r="F475" s="159"/>
      <c r="G475" s="193"/>
      <c r="H475" s="133" t="s">
        <v>34</v>
      </c>
      <c r="I475" s="44"/>
      <c r="J475" s="44"/>
      <c r="K475" s="45"/>
      <c r="L475" s="522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24"/>
      <c r="B476" s="354" t="s">
        <v>187</v>
      </c>
      <c r="C476" s="159"/>
      <c r="D476" s="159"/>
      <c r="E476" s="159"/>
      <c r="F476" s="159"/>
      <c r="G476" s="193"/>
      <c r="H476" s="131" t="s">
        <v>46</v>
      </c>
      <c r="I476" s="147">
        <v>0</v>
      </c>
      <c r="J476" s="147">
        <f>J479+J481</f>
        <v>0</v>
      </c>
      <c r="K476" s="132">
        <f t="shared" ref="K476:K478" si="296">IF(I476&gt;0,J476*100/I476,0)</f>
        <v>0</v>
      </c>
      <c r="L476" s="522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24"/>
      <c r="B477" s="159"/>
      <c r="C477" s="351" t="s">
        <v>188</v>
      </c>
      <c r="D477" s="159"/>
      <c r="E477" s="159"/>
      <c r="F477" s="159"/>
      <c r="G477" s="193"/>
      <c r="H477" s="131" t="s">
        <v>46</v>
      </c>
      <c r="I477" s="147">
        <v>0</v>
      </c>
      <c r="J477" s="147">
        <f t="shared" ref="J477:J478" si="297">J479+J481</f>
        <v>0</v>
      </c>
      <c r="K477" s="132">
        <f t="shared" si="296"/>
        <v>0</v>
      </c>
      <c r="L477" s="522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9.5" hidden="1" x14ac:dyDescent="0.3">
      <c r="A478" s="224"/>
      <c r="B478" s="159"/>
      <c r="C478" s="440" t="s">
        <v>189</v>
      </c>
      <c r="D478" s="159"/>
      <c r="E478" s="159"/>
      <c r="F478" s="159"/>
      <c r="G478" s="193"/>
      <c r="H478" s="131" t="s">
        <v>34</v>
      </c>
      <c r="I478" s="147">
        <v>0</v>
      </c>
      <c r="J478" s="147">
        <f t="shared" si="297"/>
        <v>0</v>
      </c>
      <c r="K478" s="132">
        <f t="shared" si="296"/>
        <v>0</v>
      </c>
      <c r="L478" s="522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24"/>
      <c r="B479" s="159"/>
      <c r="C479" s="159"/>
      <c r="D479" s="440" t="s">
        <v>190</v>
      </c>
      <c r="E479" s="159"/>
      <c r="F479" s="159"/>
      <c r="G479" s="193"/>
      <c r="H479" s="133" t="s">
        <v>46</v>
      </c>
      <c r="I479" s="44"/>
      <c r="J479" s="44"/>
      <c r="K479" s="45"/>
      <c r="L479" s="522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24"/>
      <c r="B480" s="159"/>
      <c r="C480" s="159"/>
      <c r="D480" s="159"/>
      <c r="E480" s="159"/>
      <c r="F480" s="159"/>
      <c r="G480" s="193"/>
      <c r="H480" s="133" t="s">
        <v>34</v>
      </c>
      <c r="I480" s="44"/>
      <c r="J480" s="44"/>
      <c r="K480" s="45"/>
      <c r="L480" s="522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24"/>
      <c r="B481" s="159"/>
      <c r="C481" s="159"/>
      <c r="D481" s="353" t="s">
        <v>191</v>
      </c>
      <c r="E481" s="159"/>
      <c r="F481" s="159"/>
      <c r="G481" s="193"/>
      <c r="H481" s="133" t="s">
        <v>46</v>
      </c>
      <c r="I481" s="44"/>
      <c r="J481" s="44"/>
      <c r="K481" s="45"/>
      <c r="L481" s="522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24"/>
      <c r="B482" s="159"/>
      <c r="C482" s="159"/>
      <c r="D482" s="159"/>
      <c r="E482" s="159"/>
      <c r="F482" s="159"/>
      <c r="G482" s="193"/>
      <c r="H482" s="133" t="s">
        <v>34</v>
      </c>
      <c r="I482" s="44"/>
      <c r="J482" s="44"/>
      <c r="K482" s="45"/>
      <c r="L482" s="522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24"/>
      <c r="B483" s="159"/>
      <c r="C483" s="159"/>
      <c r="D483" s="353" t="s">
        <v>192</v>
      </c>
      <c r="E483" s="159"/>
      <c r="F483" s="159"/>
      <c r="G483" s="193"/>
      <c r="H483" s="133" t="s">
        <v>46</v>
      </c>
      <c r="I483" s="44"/>
      <c r="J483" s="152">
        <f ca="1">IFERROR(__xludf.DUMMYFUNCTION("IMPORTRANGE(""https://docs.google.com/spreadsheets/d/1eHaY18a8A9IcSdp1K8H6x8fbOy06t2VsZHhMHf-1x7Y/edit?usp=sharing"",""แผน!HN82"")"),0)</f>
        <v>0</v>
      </c>
      <c r="K483" s="45"/>
      <c r="L483" s="522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8.75" hidden="1" x14ac:dyDescent="0.25">
      <c r="A484" s="224"/>
      <c r="B484" s="159"/>
      <c r="C484" s="159"/>
      <c r="D484" s="159"/>
      <c r="E484" s="159"/>
      <c r="F484" s="159"/>
      <c r="G484" s="193"/>
      <c r="H484" s="133" t="s">
        <v>34</v>
      </c>
      <c r="I484" s="44"/>
      <c r="J484" s="152">
        <f ca="1">IFERROR(__xludf.DUMMYFUNCTION("IMPORTRANGE(""https://docs.google.com/spreadsheets/d/1eHaY18a8A9IcSdp1K8H6x8fbOy06t2VsZHhMHf-1x7Y/edit?usp=sharing"",""แผน!HO82"")"),0)</f>
        <v>0</v>
      </c>
      <c r="K484" s="45"/>
      <c r="L484" s="522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hidden="1" x14ac:dyDescent="0.3">
      <c r="A485" s="224"/>
      <c r="B485" s="159"/>
      <c r="C485" s="351" t="s">
        <v>193</v>
      </c>
      <c r="D485" s="159"/>
      <c r="E485" s="159"/>
      <c r="F485" s="159"/>
      <c r="G485" s="193"/>
      <c r="H485" s="131" t="s">
        <v>46</v>
      </c>
      <c r="I485" s="44">
        <f t="shared" ref="I485:I486" si="298">J481</f>
        <v>0</v>
      </c>
      <c r="J485" s="147">
        <f t="shared" ref="J485:J486" si="299">J487+J489+J491</f>
        <v>0</v>
      </c>
      <c r="K485" s="132">
        <f t="shared" ref="K485:K486" si="300">IF(I485&gt;0,J485*100/I485,0)</f>
        <v>0</v>
      </c>
      <c r="L485" s="522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9.5" hidden="1" x14ac:dyDescent="0.3">
      <c r="A486" s="224"/>
      <c r="B486" s="159"/>
      <c r="C486" s="440" t="s">
        <v>194</v>
      </c>
      <c r="D486" s="159"/>
      <c r="E486" s="159"/>
      <c r="F486" s="159"/>
      <c r="G486" s="193"/>
      <c r="H486" s="131" t="s">
        <v>34</v>
      </c>
      <c r="I486" s="44">
        <f t="shared" si="298"/>
        <v>0</v>
      </c>
      <c r="J486" s="147">
        <f t="shared" si="299"/>
        <v>0</v>
      </c>
      <c r="K486" s="132">
        <f t="shared" si="300"/>
        <v>0</v>
      </c>
      <c r="L486" s="522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24"/>
      <c r="B487" s="159"/>
      <c r="C487" s="159"/>
      <c r="D487" s="353" t="s">
        <v>195</v>
      </c>
      <c r="E487" s="159"/>
      <c r="F487" s="159"/>
      <c r="G487" s="193"/>
      <c r="H487" s="133" t="s">
        <v>46</v>
      </c>
      <c r="I487" s="44"/>
      <c r="J487" s="44"/>
      <c r="K487" s="45"/>
      <c r="L487" s="522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24"/>
      <c r="B488" s="159"/>
      <c r="C488" s="159"/>
      <c r="D488" s="159"/>
      <c r="E488" s="159"/>
      <c r="F488" s="159"/>
      <c r="G488" s="193"/>
      <c r="H488" s="133" t="s">
        <v>34</v>
      </c>
      <c r="I488" s="44"/>
      <c r="J488" s="44"/>
      <c r="K488" s="45"/>
      <c r="L488" s="522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24"/>
      <c r="B489" s="159"/>
      <c r="C489" s="159"/>
      <c r="D489" s="353" t="s">
        <v>196</v>
      </c>
      <c r="E489" s="159"/>
      <c r="F489" s="159"/>
      <c r="G489" s="193"/>
      <c r="H489" s="133" t="s">
        <v>46</v>
      </c>
      <c r="I489" s="44"/>
      <c r="J489" s="44"/>
      <c r="K489" s="45"/>
      <c r="L489" s="522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24"/>
      <c r="B490" s="159"/>
      <c r="C490" s="159"/>
      <c r="D490" s="159"/>
      <c r="E490" s="159"/>
      <c r="F490" s="159"/>
      <c r="G490" s="193"/>
      <c r="H490" s="133" t="s">
        <v>34</v>
      </c>
      <c r="I490" s="44"/>
      <c r="J490" s="44"/>
      <c r="K490" s="45"/>
      <c r="L490" s="522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224"/>
      <c r="B491" s="159"/>
      <c r="C491" s="159"/>
      <c r="D491" s="353" t="s">
        <v>197</v>
      </c>
      <c r="E491" s="159"/>
      <c r="F491" s="159"/>
      <c r="G491" s="193"/>
      <c r="H491" s="133" t="s">
        <v>46</v>
      </c>
      <c r="I491" s="44"/>
      <c r="J491" s="44"/>
      <c r="K491" s="45"/>
      <c r="L491" s="522"/>
      <c r="M491" s="45"/>
      <c r="N491" s="45"/>
      <c r="O491" s="45"/>
      <c r="P491" s="45"/>
      <c r="Q491" s="45"/>
      <c r="R491" s="45"/>
      <c r="S491" s="45"/>
      <c r="T491" s="45"/>
      <c r="U491" s="45"/>
    </row>
    <row r="492" spans="1:21" ht="18.75" hidden="1" x14ac:dyDescent="0.25">
      <c r="A492" s="355"/>
      <c r="B492" s="4"/>
      <c r="C492" s="4"/>
      <c r="D492" s="4"/>
      <c r="E492" s="4"/>
      <c r="F492" s="4"/>
      <c r="G492" s="356"/>
      <c r="H492" s="357" t="s">
        <v>34</v>
      </c>
      <c r="I492" s="54"/>
      <c r="J492" s="54"/>
      <c r="K492" s="5"/>
      <c r="L492" s="523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.5" hidden="1" x14ac:dyDescent="0.3">
      <c r="A493" s="324"/>
      <c r="B493" s="335" t="s">
        <v>198</v>
      </c>
      <c r="C493" s="326"/>
      <c r="D493" s="326"/>
      <c r="E493" s="318"/>
      <c r="F493" s="318"/>
      <c r="G493" s="319"/>
      <c r="H493" s="347" t="s">
        <v>35</v>
      </c>
      <c r="I493" s="321">
        <f t="shared" ref="I493:J493" ca="1" si="301">I504</f>
        <v>0</v>
      </c>
      <c r="J493" s="321">
        <f t="shared" ca="1" si="301"/>
        <v>0</v>
      </c>
      <c r="K493" s="322">
        <f ca="1">IF(I493&gt;0,J493*100/I493,0)</f>
        <v>0</v>
      </c>
      <c r="L493" s="655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9.5" hidden="1" x14ac:dyDescent="0.3">
      <c r="A494" s="128"/>
      <c r="B494" s="159"/>
      <c r="C494" s="190" t="s">
        <v>18</v>
      </c>
      <c r="D494" s="695" t="s">
        <v>19</v>
      </c>
      <c r="E494" s="478"/>
      <c r="F494" s="478"/>
      <c r="G494" s="42"/>
      <c r="H494" s="239" t="s">
        <v>14</v>
      </c>
      <c r="I494" s="44"/>
      <c r="J494" s="44"/>
      <c r="K494" s="45"/>
      <c r="L494" s="545">
        <f t="shared" ref="L494:N494" si="302">L495+L496</f>
        <v>0</v>
      </c>
      <c r="M494" s="132">
        <f t="shared" si="302"/>
        <v>0</v>
      </c>
      <c r="N494" s="132">
        <f t="shared" si="302"/>
        <v>0</v>
      </c>
      <c r="O494" s="132">
        <f t="shared" ref="O494:O502" si="303">IF(L494&gt;0,N494*100/L494,0)</f>
        <v>0</v>
      </c>
      <c r="P494" s="132">
        <f t="shared" ref="P494:P502" si="304">IF(M494&gt;0,N494*100/M494,0)</f>
        <v>0</v>
      </c>
      <c r="Q494" s="132">
        <f t="shared" ref="Q494:S494" ca="1" si="305">Q495+Q496</f>
        <v>0</v>
      </c>
      <c r="R494" s="132">
        <f t="shared" ca="1" si="305"/>
        <v>0</v>
      </c>
      <c r="S494" s="132">
        <f t="shared" ca="1" si="305"/>
        <v>0</v>
      </c>
      <c r="T494" s="132">
        <f t="shared" ref="T494:T502" ca="1" si="306">IF(Q494&gt;0,S494*100/Q494,0)</f>
        <v>0</v>
      </c>
      <c r="U494" s="132">
        <f t="shared" ref="U494:U502" ca="1" si="307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199"/>
      <c r="G495" s="42"/>
      <c r="H495" s="160" t="s">
        <v>14</v>
      </c>
      <c r="I495" s="44"/>
      <c r="J495" s="44"/>
      <c r="K495" s="45"/>
      <c r="L495" s="521">
        <f t="shared" ref="L495:N496" si="308">L498+L501</f>
        <v>0</v>
      </c>
      <c r="M495" s="48">
        <f t="shared" si="308"/>
        <v>0</v>
      </c>
      <c r="N495" s="48">
        <f t="shared" si="308"/>
        <v>0</v>
      </c>
      <c r="O495" s="48">
        <f t="shared" si="303"/>
        <v>0</v>
      </c>
      <c r="P495" s="48">
        <f t="shared" si="304"/>
        <v>0</v>
      </c>
      <c r="Q495" s="48">
        <f t="shared" ref="Q495:S496" si="309">Q498+Q501</f>
        <v>0</v>
      </c>
      <c r="R495" s="48">
        <f t="shared" si="309"/>
        <v>0</v>
      </c>
      <c r="S495" s="48">
        <f t="shared" si="309"/>
        <v>0</v>
      </c>
      <c r="T495" s="48">
        <f t="shared" si="306"/>
        <v>0</v>
      </c>
      <c r="U495" s="48">
        <f t="shared" si="307"/>
        <v>0</v>
      </c>
    </row>
    <row r="496" spans="1:21" ht="18.75" hidden="1" x14ac:dyDescent="0.25">
      <c r="A496" s="128"/>
      <c r="B496" s="159"/>
      <c r="C496" s="159"/>
      <c r="D496" s="139"/>
      <c r="E496" s="270" t="s">
        <v>159</v>
      </c>
      <c r="F496" s="199"/>
      <c r="G496" s="42"/>
      <c r="H496" s="134" t="s">
        <v>14</v>
      </c>
      <c r="I496" s="44"/>
      <c r="J496" s="44"/>
      <c r="K496" s="45"/>
      <c r="L496" s="519">
        <f t="shared" si="308"/>
        <v>0</v>
      </c>
      <c r="M496" s="46">
        <f t="shared" si="308"/>
        <v>0</v>
      </c>
      <c r="N496" s="46">
        <f t="shared" si="308"/>
        <v>0</v>
      </c>
      <c r="O496" s="46">
        <f t="shared" si="303"/>
        <v>0</v>
      </c>
      <c r="P496" s="46">
        <f t="shared" si="304"/>
        <v>0</v>
      </c>
      <c r="Q496" s="46">
        <f t="shared" ca="1" si="309"/>
        <v>0</v>
      </c>
      <c r="R496" s="46">
        <f t="shared" ca="1" si="309"/>
        <v>0</v>
      </c>
      <c r="S496" s="46">
        <f t="shared" ca="1" si="309"/>
        <v>0</v>
      </c>
      <c r="T496" s="46">
        <f t="shared" ca="1" si="306"/>
        <v>0</v>
      </c>
      <c r="U496" s="46">
        <f t="shared" ca="1" si="307"/>
        <v>0</v>
      </c>
    </row>
    <row r="497" spans="1:21" ht="18.75" hidden="1" x14ac:dyDescent="0.25">
      <c r="A497" s="128"/>
      <c r="B497" s="159"/>
      <c r="C497" s="159"/>
      <c r="D497" s="554" t="s">
        <v>22</v>
      </c>
      <c r="E497" s="199"/>
      <c r="F497" s="199"/>
      <c r="G497" s="42"/>
      <c r="H497" s="134" t="s">
        <v>14</v>
      </c>
      <c r="I497" s="135"/>
      <c r="J497" s="135"/>
      <c r="K497" s="136"/>
      <c r="L497" s="519">
        <f t="shared" ref="L497:N497" si="310">L498+L499</f>
        <v>0</v>
      </c>
      <c r="M497" s="46">
        <f t="shared" si="310"/>
        <v>0</v>
      </c>
      <c r="N497" s="46">
        <f t="shared" si="310"/>
        <v>0</v>
      </c>
      <c r="O497" s="46">
        <f t="shared" si="303"/>
        <v>0</v>
      </c>
      <c r="P497" s="46">
        <f t="shared" si="304"/>
        <v>0</v>
      </c>
      <c r="Q497" s="46">
        <f t="shared" ref="Q497:S497" ca="1" si="311">Q498+Q499</f>
        <v>0</v>
      </c>
      <c r="R497" s="46">
        <f t="shared" ca="1" si="311"/>
        <v>0</v>
      </c>
      <c r="S497" s="46">
        <f t="shared" ca="1" si="311"/>
        <v>0</v>
      </c>
      <c r="T497" s="46">
        <f t="shared" ca="1" si="306"/>
        <v>0</v>
      </c>
      <c r="U497" s="46">
        <f t="shared" ca="1" si="307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199"/>
      <c r="G498" s="42"/>
      <c r="H498" s="160" t="s">
        <v>14</v>
      </c>
      <c r="I498" s="44"/>
      <c r="J498" s="44"/>
      <c r="K498" s="45"/>
      <c r="L498" s="521">
        <v>0</v>
      </c>
      <c r="M498" s="48">
        <v>0</v>
      </c>
      <c r="N498" s="48">
        <v>0</v>
      </c>
      <c r="O498" s="48">
        <f t="shared" si="303"/>
        <v>0</v>
      </c>
      <c r="P498" s="48">
        <f t="shared" si="304"/>
        <v>0</v>
      </c>
      <c r="Q498" s="48">
        <v>0</v>
      </c>
      <c r="R498" s="48">
        <v>0</v>
      </c>
      <c r="S498" s="48">
        <v>0</v>
      </c>
      <c r="T498" s="48">
        <f t="shared" si="306"/>
        <v>0</v>
      </c>
      <c r="U498" s="48">
        <f t="shared" si="307"/>
        <v>0</v>
      </c>
    </row>
    <row r="499" spans="1:21" ht="18.75" hidden="1" x14ac:dyDescent="0.25">
      <c r="A499" s="128"/>
      <c r="B499" s="159"/>
      <c r="C499" s="159"/>
      <c r="D499" s="139"/>
      <c r="E499" s="270" t="s">
        <v>159</v>
      </c>
      <c r="F499" s="199"/>
      <c r="G499" s="42"/>
      <c r="H499" s="134" t="s">
        <v>14</v>
      </c>
      <c r="I499" s="44"/>
      <c r="J499" s="44"/>
      <c r="K499" s="45"/>
      <c r="L499" s="519">
        <v>0</v>
      </c>
      <c r="M499" s="46">
        <v>0</v>
      </c>
      <c r="N499" s="46">
        <v>0</v>
      </c>
      <c r="O499" s="46">
        <f t="shared" si="303"/>
        <v>0</v>
      </c>
      <c r="P499" s="46">
        <f t="shared" si="304"/>
        <v>0</v>
      </c>
      <c r="Q499" s="46">
        <f ca="1">IFERROR(__xludf.DUMMYFUNCTION("IMPORTRANGE(""https://docs.google.com/spreadsheets/d/1ItG2mGa2ceCfYo0BwxsXqNm01IGEUdYcSSLTEv9YCik/edit?usp=sharing"",""เบิกจ่ายกองทุน!X82"")"),0)</f>
        <v>0</v>
      </c>
      <c r="R499" s="46">
        <f ca="1">IFERROR(__xludf.DUMMYFUNCTION("IMPORTRANGE(""https://docs.google.com/spreadsheets/d/1ItG2mGa2ceCfYo0BwxsXqNm01IGEUdYcSSLTEv9YCik/edit?usp=sharing"",""เบิกจ่ายกองทุน!Y82"")"),0)</f>
        <v>0</v>
      </c>
      <c r="S499" s="46">
        <f ca="1">IFERROR(__xludf.DUMMYFUNCTION("IMPORTRANGE(""https://docs.google.com/spreadsheets/d/1ItG2mGa2ceCfYo0BwxsXqNm01IGEUdYcSSLTEv9YCik/edit?usp=sharing"",""เบิกจ่ายกองทุน!Z82"")"),0)</f>
        <v>0</v>
      </c>
      <c r="T499" s="46">
        <f t="shared" ca="1" si="306"/>
        <v>0</v>
      </c>
      <c r="U499" s="46">
        <f t="shared" ca="1" si="307"/>
        <v>0</v>
      </c>
    </row>
    <row r="500" spans="1:21" ht="18.75" hidden="1" x14ac:dyDescent="0.25">
      <c r="A500" s="128"/>
      <c r="B500" s="159"/>
      <c r="C500" s="159"/>
      <c r="D500" s="554" t="s">
        <v>23</v>
      </c>
      <c r="E500" s="199"/>
      <c r="F500" s="199"/>
      <c r="G500" s="42"/>
      <c r="H500" s="137" t="s">
        <v>14</v>
      </c>
      <c r="I500" s="135"/>
      <c r="J500" s="135"/>
      <c r="K500" s="136"/>
      <c r="L500" s="519">
        <f t="shared" ref="L500:N500" si="312">L501+L502</f>
        <v>0</v>
      </c>
      <c r="M500" s="46">
        <f t="shared" si="312"/>
        <v>0</v>
      </c>
      <c r="N500" s="46">
        <f t="shared" si="312"/>
        <v>0</v>
      </c>
      <c r="O500" s="46">
        <f t="shared" si="303"/>
        <v>0</v>
      </c>
      <c r="P500" s="46">
        <f t="shared" si="304"/>
        <v>0</v>
      </c>
      <c r="Q500" s="46">
        <f t="shared" ref="Q500:S500" si="313">Q501+Q502</f>
        <v>0</v>
      </c>
      <c r="R500" s="46">
        <f t="shared" si="313"/>
        <v>0</v>
      </c>
      <c r="S500" s="46">
        <f t="shared" si="313"/>
        <v>0</v>
      </c>
      <c r="T500" s="46">
        <f t="shared" si="306"/>
        <v>0</v>
      </c>
      <c r="U500" s="46">
        <f t="shared" si="307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199"/>
      <c r="G501" s="42"/>
      <c r="H501" s="160" t="s">
        <v>14</v>
      </c>
      <c r="I501" s="135"/>
      <c r="J501" s="135"/>
      <c r="K501" s="136"/>
      <c r="L501" s="521">
        <v>0</v>
      </c>
      <c r="M501" s="48">
        <v>0</v>
      </c>
      <c r="N501" s="48">
        <v>0</v>
      </c>
      <c r="O501" s="48">
        <f t="shared" si="303"/>
        <v>0</v>
      </c>
      <c r="P501" s="48">
        <f t="shared" si="304"/>
        <v>0</v>
      </c>
      <c r="Q501" s="48">
        <v>0</v>
      </c>
      <c r="R501" s="48">
        <v>0</v>
      </c>
      <c r="S501" s="48">
        <v>0</v>
      </c>
      <c r="T501" s="48">
        <f t="shared" si="306"/>
        <v>0</v>
      </c>
      <c r="U501" s="48">
        <f t="shared" si="307"/>
        <v>0</v>
      </c>
    </row>
    <row r="502" spans="1:21" ht="18.75" hidden="1" x14ac:dyDescent="0.25">
      <c r="A502" s="128"/>
      <c r="B502" s="159"/>
      <c r="C502" s="159"/>
      <c r="D502" s="159"/>
      <c r="E502" s="270" t="s">
        <v>21</v>
      </c>
      <c r="F502" s="199"/>
      <c r="G502" s="42"/>
      <c r="H502" s="137" t="s">
        <v>14</v>
      </c>
      <c r="I502" s="135"/>
      <c r="J502" s="135"/>
      <c r="K502" s="136"/>
      <c r="L502" s="519">
        <v>0</v>
      </c>
      <c r="M502" s="46">
        <v>0</v>
      </c>
      <c r="N502" s="46">
        <v>0</v>
      </c>
      <c r="O502" s="46">
        <f t="shared" si="303"/>
        <v>0</v>
      </c>
      <c r="P502" s="46">
        <f t="shared" si="304"/>
        <v>0</v>
      </c>
      <c r="Q502" s="46">
        <v>0</v>
      </c>
      <c r="R502" s="46">
        <v>0</v>
      </c>
      <c r="S502" s="46">
        <v>0</v>
      </c>
      <c r="T502" s="46">
        <f t="shared" si="306"/>
        <v>0</v>
      </c>
      <c r="U502" s="46">
        <f t="shared" si="307"/>
        <v>0</v>
      </c>
    </row>
    <row r="503" spans="1:21" ht="19.5" hidden="1" x14ac:dyDescent="0.3">
      <c r="A503" s="138"/>
      <c r="B503" s="139"/>
      <c r="C503" s="190" t="s">
        <v>18</v>
      </c>
      <c r="D503" s="687" t="s">
        <v>38</v>
      </c>
      <c r="E503" s="141"/>
      <c r="F503" s="141"/>
      <c r="G503" s="142"/>
      <c r="H503" s="191"/>
      <c r="I503" s="135"/>
      <c r="J503" s="135"/>
      <c r="K503" s="136"/>
      <c r="L503" s="547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24"/>
      <c r="B504" s="159"/>
      <c r="C504" s="159"/>
      <c r="D504" s="351" t="s">
        <v>199</v>
      </c>
      <c r="E504" s="199"/>
      <c r="F504" s="199"/>
      <c r="G504" s="42"/>
      <c r="H504" s="133" t="s">
        <v>35</v>
      </c>
      <c r="I504" s="147">
        <f ca="1">IFERROR(__xludf.DUMMYFUNCTION("IMPORTRANGE(""https://docs.google.com/spreadsheets/d/1eHaY18a8A9IcSdp1K8H6x8fbOy06t2VsZHhMHf-1x7Y/edit?usp=sharing"",""แผน!GX82"")"),0)</f>
        <v>0</v>
      </c>
      <c r="J504" s="147">
        <f ca="1">IF(AND(J505=I505,J506=I506,J507=I507,J508=I508),I504,0)</f>
        <v>0</v>
      </c>
      <c r="K504" s="132">
        <f t="shared" ref="K504:K510" ca="1" si="314">IF(I504&gt;0,J504*100/I504,0)</f>
        <v>0</v>
      </c>
      <c r="L504" s="522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24"/>
      <c r="B505" s="159"/>
      <c r="C505" s="159"/>
      <c r="D505" s="159"/>
      <c r="E505" s="270" t="s">
        <v>200</v>
      </c>
      <c r="F505" s="199"/>
      <c r="G505" s="42"/>
      <c r="H505" s="133" t="s">
        <v>35</v>
      </c>
      <c r="I505" s="152">
        <f ca="1">IFERROR(__xludf.DUMMYFUNCTION("IMPORTRANGE(""https://docs.google.com/spreadsheets/d/1eHaY18a8A9IcSdp1K8H6x8fbOy06t2VsZHhMHf-1x7Y/edit?usp=sharing"",""แผน!GY82"")"),0)</f>
        <v>0</v>
      </c>
      <c r="J505" s="168">
        <v>0</v>
      </c>
      <c r="K505" s="46">
        <f t="shared" ca="1" si="314"/>
        <v>0</v>
      </c>
      <c r="L505" s="522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24"/>
      <c r="B506" s="159"/>
      <c r="C506" s="159"/>
      <c r="D506" s="159"/>
      <c r="E506" s="270" t="s">
        <v>201</v>
      </c>
      <c r="F506" s="199"/>
      <c r="G506" s="42"/>
      <c r="H506" s="133" t="s">
        <v>35</v>
      </c>
      <c r="I506" s="152">
        <f ca="1">IFERROR(__xludf.DUMMYFUNCTION("IMPORTRANGE(""https://docs.google.com/spreadsheets/d/1eHaY18a8A9IcSdp1K8H6x8fbOy06t2VsZHhMHf-1x7Y/edit?usp=sharing"",""แผน!GZ82"")"),0)</f>
        <v>0</v>
      </c>
      <c r="J506" s="168">
        <v>0</v>
      </c>
      <c r="K506" s="46">
        <f t="shared" ca="1" si="314"/>
        <v>0</v>
      </c>
      <c r="L506" s="522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24"/>
      <c r="B507" s="159"/>
      <c r="C507" s="159"/>
      <c r="D507" s="159"/>
      <c r="E507" s="270" t="s">
        <v>202</v>
      </c>
      <c r="F507" s="199"/>
      <c r="G507" s="42"/>
      <c r="H507" s="133" t="s">
        <v>35</v>
      </c>
      <c r="I507" s="152">
        <f ca="1">IFERROR(__xludf.DUMMYFUNCTION("IMPORTRANGE(""https://docs.google.com/spreadsheets/d/1eHaY18a8A9IcSdp1K8H6x8fbOy06t2VsZHhMHf-1x7Y/edit?usp=sharing"",""แผน!HA82"")"),0)</f>
        <v>0</v>
      </c>
      <c r="J507" s="168">
        <v>0</v>
      </c>
      <c r="K507" s="46">
        <f t="shared" ca="1" si="314"/>
        <v>0</v>
      </c>
      <c r="L507" s="522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24"/>
      <c r="B508" s="159"/>
      <c r="C508" s="159"/>
      <c r="D508" s="159"/>
      <c r="E508" s="358" t="s">
        <v>203</v>
      </c>
      <c r="F508" s="199"/>
      <c r="G508" s="42"/>
      <c r="H508" s="133" t="s">
        <v>35</v>
      </c>
      <c r="I508" s="152">
        <f ca="1">IFERROR(__xludf.DUMMYFUNCTION("IMPORTRANGE(""https://docs.google.com/spreadsheets/d/1eHaY18a8A9IcSdp1K8H6x8fbOy06t2VsZHhMHf-1x7Y/edit?usp=sharing"",""แผน!HB82"")"),0)</f>
        <v>0</v>
      </c>
      <c r="J508" s="168">
        <v>0</v>
      </c>
      <c r="K508" s="46">
        <f t="shared" ca="1" si="314"/>
        <v>0</v>
      </c>
      <c r="L508" s="522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8.75" hidden="1" x14ac:dyDescent="0.25">
      <c r="A509" s="224"/>
      <c r="B509" s="159"/>
      <c r="C509" s="159"/>
      <c r="D509" s="159"/>
      <c r="E509" s="270" t="s">
        <v>204</v>
      </c>
      <c r="F509" s="199"/>
      <c r="G509" s="42"/>
      <c r="H509" s="133" t="s">
        <v>35</v>
      </c>
      <c r="I509" s="152">
        <v>0</v>
      </c>
      <c r="J509" s="152">
        <v>0</v>
      </c>
      <c r="K509" s="46">
        <f t="shared" si="314"/>
        <v>0</v>
      </c>
      <c r="L509" s="522"/>
      <c r="M509" s="45"/>
      <c r="N509" s="45"/>
      <c r="O509" s="45"/>
      <c r="P509" s="45"/>
      <c r="Q509" s="45"/>
      <c r="R509" s="45"/>
      <c r="S509" s="45"/>
      <c r="T509" s="45"/>
      <c r="U509" s="45"/>
    </row>
    <row r="510" spans="1:21" ht="19.5" hidden="1" x14ac:dyDescent="0.3">
      <c r="A510" s="355"/>
      <c r="B510" s="4"/>
      <c r="C510" s="4"/>
      <c r="D510" s="359" t="s">
        <v>50</v>
      </c>
      <c r="E510" s="2"/>
      <c r="F510" s="2"/>
      <c r="G510" s="52"/>
      <c r="H510" s="357" t="s">
        <v>35</v>
      </c>
      <c r="I510" s="204">
        <f ca="1">IFERROR(__xludf.DUMMYFUNCTION("IMPORTRANGE(""https://docs.google.com/spreadsheets/d/1eHaY18a8A9IcSdp1K8H6x8fbOy06t2VsZHhMHf-1x7Y/edit?usp=sharing"",""แผน!HC82"")"),0)</f>
        <v>0</v>
      </c>
      <c r="J510" s="360">
        <v>0</v>
      </c>
      <c r="K510" s="110">
        <f t="shared" ca="1" si="314"/>
        <v>0</v>
      </c>
      <c r="L510" s="523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.5" hidden="1" x14ac:dyDescent="0.3">
      <c r="A511" s="762" t="s">
        <v>205</v>
      </c>
      <c r="B511" s="362"/>
      <c r="C511" s="362"/>
      <c r="D511" s="362"/>
      <c r="E511" s="363"/>
      <c r="F511" s="363"/>
      <c r="G511" s="363"/>
      <c r="H511" s="363"/>
      <c r="I511" s="364"/>
      <c r="J511" s="364"/>
      <c r="K511" s="365"/>
      <c r="L511" s="703"/>
      <c r="M511" s="367"/>
      <c r="N511" s="367"/>
      <c r="O511" s="367"/>
      <c r="P511" s="367"/>
      <c r="Q511" s="367"/>
      <c r="R511" s="367"/>
      <c r="S511" s="367"/>
      <c r="T511" s="367"/>
      <c r="U511" s="367"/>
    </row>
    <row r="512" spans="1:21" ht="19.5" hidden="1" x14ac:dyDescent="0.3">
      <c r="A512" s="763" t="s">
        <v>206</v>
      </c>
      <c r="B512" s="369"/>
      <c r="C512" s="369"/>
      <c r="D512" s="370"/>
      <c r="E512" s="369"/>
      <c r="F512" s="369"/>
      <c r="G512" s="369"/>
      <c r="H512" s="371"/>
      <c r="I512" s="372"/>
      <c r="J512" s="372"/>
      <c r="K512" s="373"/>
      <c r="L512" s="710"/>
      <c r="M512" s="374"/>
      <c r="N512" s="374"/>
      <c r="O512" s="374"/>
      <c r="P512" s="374"/>
      <c r="Q512" s="374"/>
      <c r="R512" s="374"/>
      <c r="S512" s="374"/>
      <c r="T512" s="374"/>
      <c r="U512" s="374"/>
    </row>
    <row r="513" spans="1:21" ht="19.5" hidden="1" x14ac:dyDescent="0.3">
      <c r="A513" s="375"/>
      <c r="B513" s="764" t="s">
        <v>207</v>
      </c>
      <c r="C513" s="377"/>
      <c r="D513" s="378"/>
      <c r="E513" s="378"/>
      <c r="F513" s="378"/>
      <c r="G513" s="379"/>
      <c r="H513" s="765" t="s">
        <v>61</v>
      </c>
      <c r="I513" s="766">
        <f t="shared" ref="I513:J513" si="315">I525</f>
        <v>0</v>
      </c>
      <c r="J513" s="766">
        <f t="shared" si="315"/>
        <v>0</v>
      </c>
      <c r="K513" s="767">
        <f>IF(I513&gt;0,J513*100/I513,0)</f>
        <v>0</v>
      </c>
      <c r="L513" s="719"/>
      <c r="M513" s="383"/>
      <c r="N513" s="383"/>
      <c r="O513" s="383"/>
      <c r="P513" s="383"/>
      <c r="Q513" s="383"/>
      <c r="R513" s="383"/>
      <c r="S513" s="383"/>
      <c r="T513" s="383"/>
      <c r="U513" s="383"/>
    </row>
    <row r="514" spans="1:21" ht="19.5" hidden="1" x14ac:dyDescent="0.3">
      <c r="A514" s="128"/>
      <c r="B514" s="199"/>
      <c r="C514" s="577" t="s">
        <v>18</v>
      </c>
      <c r="D514" s="578" t="s">
        <v>19</v>
      </c>
      <c r="E514" s="199"/>
      <c r="F514" s="199"/>
      <c r="G514" s="42"/>
      <c r="H514" s="768" t="s">
        <v>14</v>
      </c>
      <c r="I514" s="44"/>
      <c r="J514" s="44"/>
      <c r="K514" s="45"/>
      <c r="L514" s="545">
        <f t="shared" ref="L514:N514" ca="1" si="316">L515+L516</f>
        <v>0</v>
      </c>
      <c r="M514" s="132">
        <f t="shared" ca="1" si="316"/>
        <v>0</v>
      </c>
      <c r="N514" s="132">
        <f t="shared" ca="1" si="316"/>
        <v>0</v>
      </c>
      <c r="O514" s="132">
        <f t="shared" ref="O514:O522" ca="1" si="317">IF(L514&gt;0,N514*100/L514,0)</f>
        <v>0</v>
      </c>
      <c r="P514" s="132">
        <f t="shared" ref="P514:P522" ca="1" si="318">IF(M514&gt;0,N514*100/M514,0)</f>
        <v>0</v>
      </c>
      <c r="Q514" s="132">
        <f t="shared" ref="Q514:S514" si="319">Q515+Q516</f>
        <v>0</v>
      </c>
      <c r="R514" s="132">
        <f t="shared" si="319"/>
        <v>0</v>
      </c>
      <c r="S514" s="132">
        <f t="shared" si="319"/>
        <v>0</v>
      </c>
      <c r="T514" s="132">
        <f t="shared" ref="T514:T522" si="320">IF(Q514&gt;0,S514*100/Q514,0)</f>
        <v>0</v>
      </c>
      <c r="U514" s="132">
        <f t="shared" ref="U514:U522" si="321">IF(R514&gt;0,S514*100/R514,0)</f>
        <v>0</v>
      </c>
    </row>
    <row r="515" spans="1:21" ht="18.75" hidden="1" x14ac:dyDescent="0.25">
      <c r="A515" s="128"/>
      <c r="B515" s="199"/>
      <c r="C515" s="199"/>
      <c r="D515" s="199"/>
      <c r="E515" s="157" t="s">
        <v>20</v>
      </c>
      <c r="F515" s="199"/>
      <c r="G515" s="42"/>
      <c r="H515" s="158" t="s">
        <v>14</v>
      </c>
      <c r="I515" s="44"/>
      <c r="J515" s="44"/>
      <c r="K515" s="45"/>
      <c r="L515" s="521">
        <f t="shared" ref="L515:N516" si="322">L518+L521</f>
        <v>0</v>
      </c>
      <c r="M515" s="48">
        <f t="shared" si="322"/>
        <v>0</v>
      </c>
      <c r="N515" s="48">
        <f t="shared" si="322"/>
        <v>0</v>
      </c>
      <c r="O515" s="48">
        <f t="shared" si="317"/>
        <v>0</v>
      </c>
      <c r="P515" s="48">
        <f t="shared" si="318"/>
        <v>0</v>
      </c>
      <c r="Q515" s="48">
        <f t="shared" ref="Q515:S516" si="323">Q518+Q521</f>
        <v>0</v>
      </c>
      <c r="R515" s="48">
        <f t="shared" si="323"/>
        <v>0</v>
      </c>
      <c r="S515" s="48">
        <f t="shared" si="323"/>
        <v>0</v>
      </c>
      <c r="T515" s="48">
        <f t="shared" si="320"/>
        <v>0</v>
      </c>
      <c r="U515" s="48">
        <f t="shared" si="321"/>
        <v>0</v>
      </c>
    </row>
    <row r="516" spans="1:21" ht="18.75" hidden="1" x14ac:dyDescent="0.25">
      <c r="A516" s="128"/>
      <c r="B516" s="199"/>
      <c r="C516" s="199"/>
      <c r="D516" s="199"/>
      <c r="E516" s="157" t="s">
        <v>21</v>
      </c>
      <c r="F516" s="199"/>
      <c r="G516" s="42"/>
      <c r="H516" s="158" t="s">
        <v>14</v>
      </c>
      <c r="I516" s="44"/>
      <c r="J516" s="44"/>
      <c r="K516" s="45"/>
      <c r="L516" s="519">
        <f t="shared" ca="1" si="322"/>
        <v>0</v>
      </c>
      <c r="M516" s="46">
        <f t="shared" ca="1" si="322"/>
        <v>0</v>
      </c>
      <c r="N516" s="46">
        <f t="shared" ca="1" si="322"/>
        <v>0</v>
      </c>
      <c r="O516" s="46">
        <f t="shared" ca="1" si="317"/>
        <v>0</v>
      </c>
      <c r="P516" s="46">
        <f t="shared" ca="1" si="318"/>
        <v>0</v>
      </c>
      <c r="Q516" s="46">
        <f t="shared" si="323"/>
        <v>0</v>
      </c>
      <c r="R516" s="46">
        <f t="shared" si="323"/>
        <v>0</v>
      </c>
      <c r="S516" s="46">
        <f t="shared" si="323"/>
        <v>0</v>
      </c>
      <c r="T516" s="46">
        <f t="shared" si="320"/>
        <v>0</v>
      </c>
      <c r="U516" s="46">
        <f t="shared" si="321"/>
        <v>0</v>
      </c>
    </row>
    <row r="517" spans="1:21" ht="18.75" hidden="1" x14ac:dyDescent="0.25">
      <c r="A517" s="128"/>
      <c r="B517" s="199"/>
      <c r="C517" s="199"/>
      <c r="D517" s="769" t="s">
        <v>22</v>
      </c>
      <c r="E517" s="199"/>
      <c r="F517" s="199"/>
      <c r="G517" s="42"/>
      <c r="H517" s="160" t="s">
        <v>14</v>
      </c>
      <c r="I517" s="135"/>
      <c r="J517" s="135"/>
      <c r="K517" s="136"/>
      <c r="L517" s="519">
        <f t="shared" ref="L517:N517" ca="1" si="324">L518+L519</f>
        <v>0</v>
      </c>
      <c r="M517" s="46">
        <f t="shared" ca="1" si="324"/>
        <v>0</v>
      </c>
      <c r="N517" s="46">
        <f t="shared" ca="1" si="324"/>
        <v>0</v>
      </c>
      <c r="O517" s="46">
        <f t="shared" ca="1" si="317"/>
        <v>0</v>
      </c>
      <c r="P517" s="46">
        <f t="shared" ca="1" si="318"/>
        <v>0</v>
      </c>
      <c r="Q517" s="46">
        <f t="shared" ref="Q517:S517" si="325">Q518+Q519</f>
        <v>0</v>
      </c>
      <c r="R517" s="46">
        <f t="shared" si="325"/>
        <v>0</v>
      </c>
      <c r="S517" s="46">
        <f t="shared" si="325"/>
        <v>0</v>
      </c>
      <c r="T517" s="46">
        <f t="shared" si="320"/>
        <v>0</v>
      </c>
      <c r="U517" s="46">
        <f t="shared" si="321"/>
        <v>0</v>
      </c>
    </row>
    <row r="518" spans="1:21" ht="18.75" hidden="1" x14ac:dyDescent="0.25">
      <c r="A518" s="128"/>
      <c r="B518" s="199"/>
      <c r="C518" s="199"/>
      <c r="D518" s="199"/>
      <c r="E518" s="157" t="s">
        <v>36</v>
      </c>
      <c r="F518" s="199"/>
      <c r="G518" s="42"/>
      <c r="H518" s="160" t="s">
        <v>14</v>
      </c>
      <c r="I518" s="135"/>
      <c r="J518" s="135"/>
      <c r="K518" s="136"/>
      <c r="L518" s="521">
        <v>0</v>
      </c>
      <c r="M518" s="48">
        <v>0</v>
      </c>
      <c r="N518" s="48">
        <v>0</v>
      </c>
      <c r="O518" s="48">
        <f t="shared" si="317"/>
        <v>0</v>
      </c>
      <c r="P518" s="48">
        <f t="shared" si="318"/>
        <v>0</v>
      </c>
      <c r="Q518" s="48">
        <v>0</v>
      </c>
      <c r="R518" s="48">
        <v>0</v>
      </c>
      <c r="S518" s="48">
        <v>0</v>
      </c>
      <c r="T518" s="48">
        <f t="shared" si="320"/>
        <v>0</v>
      </c>
      <c r="U518" s="48">
        <f t="shared" si="321"/>
        <v>0</v>
      </c>
    </row>
    <row r="519" spans="1:21" ht="18.75" hidden="1" x14ac:dyDescent="0.25">
      <c r="A519" s="128"/>
      <c r="B519" s="199"/>
      <c r="C519" s="199"/>
      <c r="D519" s="199"/>
      <c r="E519" s="157" t="s">
        <v>37</v>
      </c>
      <c r="F519" s="199"/>
      <c r="G519" s="42"/>
      <c r="H519" s="160" t="s">
        <v>14</v>
      </c>
      <c r="I519" s="135"/>
      <c r="J519" s="135"/>
      <c r="K519" s="136"/>
      <c r="L519" s="519">
        <f ca="1">IFERROR(__xludf.DUMMYFUNCTION("IMPORTRANGE(""https://docs.google.com/spreadsheets/d/1-uDff_7J0KD5mKrp0Vvzr7lt3OU09vwQwhkpOPPYv2Y/edit?usp=sharing"",""งบพรบ!FM82"")"),0)</f>
        <v>0</v>
      </c>
      <c r="M519" s="46">
        <f ca="1">IFERROR(__xludf.DUMMYFUNCTION("IMPORTRANGE(""https://docs.google.com/spreadsheets/d/1-uDff_7J0KD5mKrp0Vvzr7lt3OU09vwQwhkpOPPYv2Y/edit?usp=sharing"",""งบพรบ!FR82"")"),0)</f>
        <v>0</v>
      </c>
      <c r="N519" s="46">
        <f ca="1">IFERROR(__xludf.DUMMYFUNCTION("IMPORTRANGE(""https://docs.google.com/spreadsheets/d/1-uDff_7J0KD5mKrp0Vvzr7lt3OU09vwQwhkpOPPYv2Y/edit?usp=sharing"",""งบพรบ!FT82"")"),0)</f>
        <v>0</v>
      </c>
      <c r="O519" s="46">
        <f t="shared" ca="1" si="317"/>
        <v>0</v>
      </c>
      <c r="P519" s="46">
        <f t="shared" ca="1" si="318"/>
        <v>0</v>
      </c>
      <c r="Q519" s="46">
        <v>0</v>
      </c>
      <c r="R519" s="46">
        <v>0</v>
      </c>
      <c r="S519" s="46">
        <v>0</v>
      </c>
      <c r="T519" s="46">
        <f t="shared" si="320"/>
        <v>0</v>
      </c>
      <c r="U519" s="46">
        <f t="shared" si="321"/>
        <v>0</v>
      </c>
    </row>
    <row r="520" spans="1:21" ht="18.75" hidden="1" x14ac:dyDescent="0.25">
      <c r="A520" s="128"/>
      <c r="B520" s="199"/>
      <c r="C520" s="199"/>
      <c r="D520" s="769" t="s">
        <v>23</v>
      </c>
      <c r="E520" s="199"/>
      <c r="F520" s="199"/>
      <c r="G520" s="42"/>
      <c r="H520" s="401" t="s">
        <v>14</v>
      </c>
      <c r="I520" s="135"/>
      <c r="J520" s="135"/>
      <c r="K520" s="136"/>
      <c r="L520" s="519">
        <f t="shared" ref="L520:N520" ca="1" si="326">L521+L522</f>
        <v>0</v>
      </c>
      <c r="M520" s="46">
        <f t="shared" ca="1" si="326"/>
        <v>0</v>
      </c>
      <c r="N520" s="46">
        <f t="shared" ca="1" si="326"/>
        <v>0</v>
      </c>
      <c r="O520" s="46">
        <f t="shared" ca="1" si="317"/>
        <v>0</v>
      </c>
      <c r="P520" s="46">
        <f t="shared" ca="1" si="318"/>
        <v>0</v>
      </c>
      <c r="Q520" s="46">
        <f t="shared" ref="Q520:S520" si="327">Q521+Q522</f>
        <v>0</v>
      </c>
      <c r="R520" s="46">
        <f t="shared" si="327"/>
        <v>0</v>
      </c>
      <c r="S520" s="46">
        <f t="shared" si="327"/>
        <v>0</v>
      </c>
      <c r="T520" s="46">
        <f t="shared" si="320"/>
        <v>0</v>
      </c>
      <c r="U520" s="46">
        <f t="shared" si="321"/>
        <v>0</v>
      </c>
    </row>
    <row r="521" spans="1:21" ht="18.75" hidden="1" x14ac:dyDescent="0.25">
      <c r="A521" s="128"/>
      <c r="B521" s="199"/>
      <c r="C521" s="199"/>
      <c r="D521" s="199"/>
      <c r="E521" s="157" t="s">
        <v>20</v>
      </c>
      <c r="F521" s="199"/>
      <c r="G521" s="42"/>
      <c r="H521" s="160" t="s">
        <v>14</v>
      </c>
      <c r="I521" s="135"/>
      <c r="J521" s="135"/>
      <c r="K521" s="136"/>
      <c r="L521" s="521">
        <v>0</v>
      </c>
      <c r="M521" s="48">
        <v>0</v>
      </c>
      <c r="N521" s="48">
        <v>0</v>
      </c>
      <c r="O521" s="48">
        <f t="shared" si="317"/>
        <v>0</v>
      </c>
      <c r="P521" s="48">
        <f t="shared" si="318"/>
        <v>0</v>
      </c>
      <c r="Q521" s="48">
        <v>0</v>
      </c>
      <c r="R521" s="48">
        <v>0</v>
      </c>
      <c r="S521" s="48">
        <v>0</v>
      </c>
      <c r="T521" s="48">
        <f t="shared" si="320"/>
        <v>0</v>
      </c>
      <c r="U521" s="48">
        <f t="shared" si="321"/>
        <v>0</v>
      </c>
    </row>
    <row r="522" spans="1:21" ht="18.75" hidden="1" x14ac:dyDescent="0.25">
      <c r="A522" s="128"/>
      <c r="B522" s="199"/>
      <c r="C522" s="199"/>
      <c r="D522" s="199"/>
      <c r="E522" s="157" t="s">
        <v>21</v>
      </c>
      <c r="F522" s="199"/>
      <c r="G522" s="42"/>
      <c r="H522" s="401" t="s">
        <v>14</v>
      </c>
      <c r="I522" s="135"/>
      <c r="J522" s="135"/>
      <c r="K522" s="136"/>
      <c r="L522" s="519">
        <f ca="1">IFERROR(__xludf.DUMMYFUNCTION("IMPORTRANGE(""https://docs.google.com/spreadsheets/d/1-uDff_7J0KD5mKrp0Vvzr7lt3OU09vwQwhkpOPPYv2Y/edit?usp=sharing"",""งบพรบ!FP82"")"),0)</f>
        <v>0</v>
      </c>
      <c r="M522" s="46">
        <f ca="1">IFERROR(__xludf.DUMMYFUNCTION("IMPORTRANGE(""https://docs.google.com/spreadsheets/d/1-uDff_7J0KD5mKrp0Vvzr7lt3OU09vwQwhkpOPPYv2Y/edit?usp=sharing"",""งบพรบ!FS82"")"),0)</f>
        <v>0</v>
      </c>
      <c r="N522" s="46">
        <f ca="1">IFERROR(__xludf.DUMMYFUNCTION("IMPORTRANGE(""https://docs.google.com/spreadsheets/d/1-uDff_7J0KD5mKrp0Vvzr7lt3OU09vwQwhkpOPPYv2Y/edit?usp=sharing"",""งบพรบ!FU82"")"),0)</f>
        <v>0</v>
      </c>
      <c r="O522" s="46">
        <f t="shared" ca="1" si="317"/>
        <v>0</v>
      </c>
      <c r="P522" s="46">
        <f t="shared" ca="1" si="318"/>
        <v>0</v>
      </c>
      <c r="Q522" s="46">
        <v>0</v>
      </c>
      <c r="R522" s="46">
        <v>0</v>
      </c>
      <c r="S522" s="46">
        <v>0</v>
      </c>
      <c r="T522" s="46">
        <f t="shared" si="320"/>
        <v>0</v>
      </c>
      <c r="U522" s="46">
        <f t="shared" si="321"/>
        <v>0</v>
      </c>
    </row>
    <row r="523" spans="1:21" ht="19.5" hidden="1" x14ac:dyDescent="0.3">
      <c r="A523" s="138"/>
      <c r="B523" s="139"/>
      <c r="C523" s="577" t="s">
        <v>18</v>
      </c>
      <c r="D523" s="591" t="s">
        <v>38</v>
      </c>
      <c r="E523" s="141"/>
      <c r="F523" s="141"/>
      <c r="G523" s="142"/>
      <c r="H523" s="143"/>
      <c r="I523" s="135"/>
      <c r="J523" s="44"/>
      <c r="K523" s="45"/>
      <c r="L523" s="522"/>
      <c r="M523" s="45"/>
      <c r="N523" s="45"/>
      <c r="O523" s="136"/>
      <c r="P523" s="136"/>
      <c r="Q523" s="45"/>
      <c r="R523" s="45"/>
      <c r="S523" s="45"/>
      <c r="T523" s="136"/>
      <c r="U523" s="136"/>
    </row>
    <row r="524" spans="1:21" ht="18.75" hidden="1" x14ac:dyDescent="0.25">
      <c r="A524" s="224"/>
      <c r="B524" s="199"/>
      <c r="C524" s="159"/>
      <c r="D524" s="192" t="s">
        <v>208</v>
      </c>
      <c r="E524" s="139"/>
      <c r="F524" s="199"/>
      <c r="G524" s="42"/>
      <c r="H524" s="561" t="s">
        <v>11</v>
      </c>
      <c r="I524" s="340">
        <v>0</v>
      </c>
      <c r="J524" s="555">
        <v>0</v>
      </c>
      <c r="K524" s="48">
        <f t="shared" ref="K524:K525" si="328">IF(I524&gt;0,J524*100/I524,0)</f>
        <v>0</v>
      </c>
      <c r="L524" s="522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8.75" hidden="1" x14ac:dyDescent="0.25">
      <c r="A525" s="355"/>
      <c r="B525" s="2"/>
      <c r="C525" s="4"/>
      <c r="D525" s="770" t="s">
        <v>209</v>
      </c>
      <c r="E525" s="274"/>
      <c r="F525" s="2"/>
      <c r="G525" s="52"/>
      <c r="H525" s="771" t="s">
        <v>61</v>
      </c>
      <c r="I525" s="459">
        <v>0</v>
      </c>
      <c r="J525" s="557">
        <v>0</v>
      </c>
      <c r="K525" s="558">
        <f t="shared" si="328"/>
        <v>0</v>
      </c>
      <c r="L525" s="522"/>
      <c r="M525" s="45"/>
      <c r="N525" s="45"/>
      <c r="O525" s="45"/>
      <c r="P525" s="45"/>
      <c r="Q525" s="45"/>
      <c r="R525" s="45"/>
      <c r="S525" s="45"/>
      <c r="T525" s="45"/>
      <c r="U525" s="45"/>
    </row>
    <row r="526" spans="1:21" ht="12.75" hidden="1" x14ac:dyDescent="0.2">
      <c r="A526" s="734"/>
      <c r="B526" s="735"/>
      <c r="C526" s="735"/>
      <c r="D526" s="736"/>
      <c r="E526" s="736"/>
      <c r="F526" s="736"/>
      <c r="G526" s="737"/>
      <c r="H526" s="738"/>
      <c r="I526" s="739"/>
      <c r="J526" s="739"/>
      <c r="K526" s="740"/>
      <c r="L526" s="693"/>
      <c r="M526" s="255"/>
      <c r="N526" s="255"/>
      <c r="O526" s="255"/>
      <c r="P526" s="255"/>
      <c r="Q526" s="255"/>
      <c r="R526" s="255"/>
      <c r="S526" s="255"/>
      <c r="T526" s="255"/>
      <c r="U526" s="255"/>
    </row>
    <row r="527" spans="1:21" ht="12.75" hidden="1" x14ac:dyDescent="0.2">
      <c r="A527" s="249"/>
      <c r="B527" s="250"/>
      <c r="C527" s="250"/>
      <c r="D527" s="251"/>
      <c r="E527" s="251"/>
      <c r="F527" s="251"/>
      <c r="G527" s="252"/>
      <c r="H527" s="253"/>
      <c r="I527" s="254"/>
      <c r="J527" s="254"/>
      <c r="K527" s="255"/>
      <c r="L527" s="693"/>
      <c r="M527" s="255"/>
      <c r="N527" s="255"/>
      <c r="O527" s="255"/>
      <c r="P527" s="255"/>
      <c r="Q527" s="255"/>
      <c r="R527" s="255"/>
      <c r="S527" s="255"/>
      <c r="T527" s="255"/>
      <c r="U527" s="255"/>
    </row>
    <row r="528" spans="1:21" ht="12.75" hidden="1" x14ac:dyDescent="0.2">
      <c r="A528" s="249"/>
      <c r="B528" s="250"/>
      <c r="C528" s="250"/>
      <c r="D528" s="251"/>
      <c r="E528" s="251"/>
      <c r="F528" s="251"/>
      <c r="G528" s="252"/>
      <c r="H528" s="253"/>
      <c r="I528" s="254"/>
      <c r="J528" s="254"/>
      <c r="K528" s="255"/>
      <c r="L528" s="693"/>
      <c r="M528" s="255"/>
      <c r="N528" s="255"/>
      <c r="O528" s="255"/>
      <c r="P528" s="255"/>
      <c r="Q528" s="255"/>
      <c r="R528" s="255"/>
      <c r="S528" s="255"/>
      <c r="T528" s="255"/>
      <c r="U528" s="255"/>
    </row>
    <row r="529" spans="1:21" ht="12.75" hidden="1" x14ac:dyDescent="0.2">
      <c r="A529" s="249"/>
      <c r="B529" s="250"/>
      <c r="C529" s="250"/>
      <c r="D529" s="251"/>
      <c r="E529" s="251"/>
      <c r="F529" s="251"/>
      <c r="G529" s="252"/>
      <c r="H529" s="253"/>
      <c r="I529" s="254"/>
      <c r="J529" s="254"/>
      <c r="K529" s="255"/>
      <c r="L529" s="693"/>
      <c r="M529" s="255"/>
      <c r="N529" s="255"/>
      <c r="O529" s="255"/>
      <c r="P529" s="255"/>
      <c r="Q529" s="255"/>
      <c r="R529" s="255"/>
      <c r="S529" s="255"/>
      <c r="T529" s="255"/>
      <c r="U529" s="255"/>
    </row>
    <row r="530" spans="1:21" ht="12.75" hidden="1" x14ac:dyDescent="0.2">
      <c r="A530" s="249"/>
      <c r="B530" s="250"/>
      <c r="C530" s="250"/>
      <c r="D530" s="251"/>
      <c r="E530" s="251"/>
      <c r="F530" s="251"/>
      <c r="G530" s="252"/>
      <c r="H530" s="253"/>
      <c r="I530" s="254"/>
      <c r="J530" s="254"/>
      <c r="K530" s="255"/>
      <c r="L530" s="693"/>
      <c r="M530" s="255"/>
      <c r="N530" s="255"/>
      <c r="O530" s="255"/>
      <c r="P530" s="255"/>
      <c r="Q530" s="255"/>
      <c r="R530" s="255"/>
      <c r="S530" s="255"/>
      <c r="T530" s="255"/>
      <c r="U530" s="255"/>
    </row>
    <row r="531" spans="1:21" ht="12.75" hidden="1" x14ac:dyDescent="0.2">
      <c r="A531" s="249"/>
      <c r="B531" s="250"/>
      <c r="C531" s="250"/>
      <c r="D531" s="251"/>
      <c r="E531" s="251"/>
      <c r="F531" s="251"/>
      <c r="G531" s="252"/>
      <c r="H531" s="253"/>
      <c r="I531" s="254"/>
      <c r="J531" s="254"/>
      <c r="K531" s="255"/>
      <c r="L531" s="693"/>
      <c r="M531" s="255"/>
      <c r="N531" s="255"/>
      <c r="O531" s="255"/>
      <c r="P531" s="255"/>
      <c r="Q531" s="255"/>
      <c r="R531" s="255"/>
      <c r="S531" s="255"/>
      <c r="T531" s="255"/>
      <c r="U531" s="255"/>
    </row>
    <row r="532" spans="1:21" ht="12.75" hidden="1" x14ac:dyDescent="0.2">
      <c r="A532" s="249"/>
      <c r="B532" s="250"/>
      <c r="C532" s="250"/>
      <c r="D532" s="251"/>
      <c r="E532" s="251"/>
      <c r="F532" s="251"/>
      <c r="G532" s="252"/>
      <c r="H532" s="253"/>
      <c r="I532" s="254"/>
      <c r="J532" s="254"/>
      <c r="K532" s="255"/>
      <c r="L532" s="693"/>
      <c r="M532" s="255"/>
      <c r="N532" s="255"/>
      <c r="O532" s="255"/>
      <c r="P532" s="255"/>
      <c r="Q532" s="255"/>
      <c r="R532" s="255"/>
      <c r="S532" s="255"/>
      <c r="T532" s="255"/>
      <c r="U532" s="255"/>
    </row>
    <row r="533" spans="1:21" ht="12.75" hidden="1" x14ac:dyDescent="0.2">
      <c r="A533" s="386"/>
      <c r="B533" s="341"/>
      <c r="C533" s="341"/>
      <c r="D533" s="387"/>
      <c r="E533" s="387"/>
      <c r="F533" s="387"/>
      <c r="G533" s="388"/>
      <c r="H533" s="342"/>
      <c r="I533" s="343"/>
      <c r="J533" s="343"/>
      <c r="K533" s="344"/>
      <c r="L533" s="694"/>
      <c r="M533" s="344"/>
      <c r="N533" s="344"/>
      <c r="O533" s="344"/>
      <c r="P533" s="344"/>
      <c r="Q533" s="344"/>
      <c r="R533" s="344"/>
      <c r="S533" s="344"/>
      <c r="T533" s="344"/>
      <c r="U533" s="344"/>
    </row>
    <row r="534" spans="1:21" ht="19.5" hidden="1" x14ac:dyDescent="0.3">
      <c r="A534" s="375"/>
      <c r="B534" s="376" t="s">
        <v>210</v>
      </c>
      <c r="C534" s="377"/>
      <c r="D534" s="378"/>
      <c r="E534" s="378"/>
      <c r="F534" s="378"/>
      <c r="G534" s="379"/>
      <c r="H534" s="389" t="s">
        <v>61</v>
      </c>
      <c r="I534" s="741">
        <f t="shared" ref="I534:J534" si="329">I546</f>
        <v>0</v>
      </c>
      <c r="J534" s="741">
        <f t="shared" si="329"/>
        <v>0</v>
      </c>
      <c r="K534" s="382">
        <f>IF(I534&gt;0,J534*100/I534,0)</f>
        <v>0</v>
      </c>
      <c r="L534" s="719"/>
      <c r="M534" s="383"/>
      <c r="N534" s="383"/>
      <c r="O534" s="383"/>
      <c r="P534" s="383"/>
      <c r="Q534" s="383"/>
      <c r="R534" s="383"/>
      <c r="S534" s="383"/>
      <c r="T534" s="383"/>
      <c r="U534" s="383"/>
    </row>
    <row r="535" spans="1:21" ht="19.5" hidden="1" x14ac:dyDescent="0.3">
      <c r="A535" s="128"/>
      <c r="B535" s="199"/>
      <c r="C535" s="198" t="s">
        <v>18</v>
      </c>
      <c r="D535" s="544" t="s">
        <v>19</v>
      </c>
      <c r="E535" s="199"/>
      <c r="F535" s="199"/>
      <c r="G535" s="42"/>
      <c r="H535" s="131" t="s">
        <v>14</v>
      </c>
      <c r="I535" s="44"/>
      <c r="J535" s="44"/>
      <c r="K535" s="45"/>
      <c r="L535" s="545">
        <f t="shared" ref="L535:N535" si="330">L536+L537</f>
        <v>0</v>
      </c>
      <c r="M535" s="132">
        <f t="shared" si="330"/>
        <v>0</v>
      </c>
      <c r="N535" s="132">
        <f t="shared" si="330"/>
        <v>0</v>
      </c>
      <c r="O535" s="132">
        <f t="shared" ref="O535:O543" si="331">IF(L535&gt;0,N535*100/L535,0)</f>
        <v>0</v>
      </c>
      <c r="P535" s="132">
        <f t="shared" ref="P535:P543" si="332">IF(M535&gt;0,N535*100/M535,0)</f>
        <v>0</v>
      </c>
      <c r="Q535" s="132">
        <f t="shared" ref="Q535:S535" si="333">Q536+Q537</f>
        <v>0</v>
      </c>
      <c r="R535" s="132">
        <f t="shared" si="333"/>
        <v>0</v>
      </c>
      <c r="S535" s="132">
        <f t="shared" si="333"/>
        <v>0</v>
      </c>
      <c r="T535" s="132">
        <f t="shared" ref="T535:T543" si="334">IF(Q535&gt;0,S535*100/Q535,0)</f>
        <v>0</v>
      </c>
      <c r="U535" s="132">
        <f t="shared" ref="U535:U543" si="335">IF(R535&gt;0,S535*100/R535,0)</f>
        <v>0</v>
      </c>
    </row>
    <row r="536" spans="1:21" ht="18.75" hidden="1" x14ac:dyDescent="0.25">
      <c r="A536" s="128"/>
      <c r="B536" s="159"/>
      <c r="C536" s="199"/>
      <c r="D536" s="199"/>
      <c r="E536" s="157" t="s">
        <v>20</v>
      </c>
      <c r="F536" s="199"/>
      <c r="G536" s="42"/>
      <c r="H536" s="158" t="s">
        <v>14</v>
      </c>
      <c r="I536" s="44"/>
      <c r="J536" s="44"/>
      <c r="K536" s="45"/>
      <c r="L536" s="521">
        <f t="shared" ref="L536:N537" si="336">L539+L542</f>
        <v>0</v>
      </c>
      <c r="M536" s="48">
        <f t="shared" si="336"/>
        <v>0</v>
      </c>
      <c r="N536" s="48">
        <f t="shared" si="336"/>
        <v>0</v>
      </c>
      <c r="O536" s="48">
        <f t="shared" si="331"/>
        <v>0</v>
      </c>
      <c r="P536" s="48">
        <f t="shared" si="332"/>
        <v>0</v>
      </c>
      <c r="Q536" s="48">
        <f t="shared" ref="Q536:S537" si="337">Q539+Q542</f>
        <v>0</v>
      </c>
      <c r="R536" s="48">
        <f t="shared" si="337"/>
        <v>0</v>
      </c>
      <c r="S536" s="48">
        <f t="shared" si="337"/>
        <v>0</v>
      </c>
      <c r="T536" s="48">
        <f t="shared" si="334"/>
        <v>0</v>
      </c>
      <c r="U536" s="48">
        <f t="shared" si="335"/>
        <v>0</v>
      </c>
    </row>
    <row r="537" spans="1:21" ht="18.75" hidden="1" x14ac:dyDescent="0.25">
      <c r="A537" s="128"/>
      <c r="B537" s="199"/>
      <c r="C537" s="159"/>
      <c r="D537" s="199"/>
      <c r="E537" s="440" t="s">
        <v>21</v>
      </c>
      <c r="F537" s="199"/>
      <c r="G537" s="42"/>
      <c r="H537" s="133" t="s">
        <v>14</v>
      </c>
      <c r="I537" s="44"/>
      <c r="J537" s="44"/>
      <c r="K537" s="45"/>
      <c r="L537" s="519">
        <f t="shared" si="336"/>
        <v>0</v>
      </c>
      <c r="M537" s="46">
        <f t="shared" si="336"/>
        <v>0</v>
      </c>
      <c r="N537" s="46">
        <f t="shared" si="336"/>
        <v>0</v>
      </c>
      <c r="O537" s="46">
        <f t="shared" si="331"/>
        <v>0</v>
      </c>
      <c r="P537" s="46">
        <f t="shared" si="332"/>
        <v>0</v>
      </c>
      <c r="Q537" s="46">
        <f t="shared" si="337"/>
        <v>0</v>
      </c>
      <c r="R537" s="46">
        <f t="shared" si="337"/>
        <v>0</v>
      </c>
      <c r="S537" s="46">
        <f t="shared" si="337"/>
        <v>0</v>
      </c>
      <c r="T537" s="46">
        <f t="shared" si="334"/>
        <v>0</v>
      </c>
      <c r="U537" s="46">
        <f t="shared" si="335"/>
        <v>0</v>
      </c>
    </row>
    <row r="538" spans="1:21" ht="18.75" hidden="1" x14ac:dyDescent="0.25">
      <c r="A538" s="128"/>
      <c r="B538" s="199"/>
      <c r="C538" s="159"/>
      <c r="D538" s="41" t="s">
        <v>22</v>
      </c>
      <c r="E538" s="159"/>
      <c r="F538" s="199"/>
      <c r="G538" s="42"/>
      <c r="H538" s="134" t="s">
        <v>14</v>
      </c>
      <c r="I538" s="135"/>
      <c r="J538" s="135"/>
      <c r="K538" s="136"/>
      <c r="L538" s="519">
        <f t="shared" ref="L538:N538" si="338">L539+L540</f>
        <v>0</v>
      </c>
      <c r="M538" s="46">
        <f t="shared" si="338"/>
        <v>0</v>
      </c>
      <c r="N538" s="46">
        <f t="shared" si="338"/>
        <v>0</v>
      </c>
      <c r="O538" s="46">
        <f t="shared" si="331"/>
        <v>0</v>
      </c>
      <c r="P538" s="46">
        <f t="shared" si="332"/>
        <v>0</v>
      </c>
      <c r="Q538" s="46">
        <f t="shared" ref="Q538:S538" si="339">Q539+Q540</f>
        <v>0</v>
      </c>
      <c r="R538" s="46">
        <f t="shared" si="339"/>
        <v>0</v>
      </c>
      <c r="S538" s="46">
        <f t="shared" si="339"/>
        <v>0</v>
      </c>
      <c r="T538" s="46">
        <f t="shared" si="334"/>
        <v>0</v>
      </c>
      <c r="U538" s="46">
        <f t="shared" si="335"/>
        <v>0</v>
      </c>
    </row>
    <row r="539" spans="1:21" ht="18.75" hidden="1" x14ac:dyDescent="0.25">
      <c r="A539" s="128"/>
      <c r="B539" s="199"/>
      <c r="C539" s="199"/>
      <c r="D539" s="199"/>
      <c r="E539" s="157" t="s">
        <v>36</v>
      </c>
      <c r="F539" s="199"/>
      <c r="G539" s="42"/>
      <c r="H539" s="160" t="s">
        <v>14</v>
      </c>
      <c r="I539" s="135"/>
      <c r="J539" s="135"/>
      <c r="K539" s="136"/>
      <c r="L539" s="521">
        <v>0</v>
      </c>
      <c r="M539" s="48">
        <v>0</v>
      </c>
      <c r="N539" s="48">
        <v>0</v>
      </c>
      <c r="O539" s="48">
        <f t="shared" si="331"/>
        <v>0</v>
      </c>
      <c r="P539" s="48">
        <f t="shared" si="332"/>
        <v>0</v>
      </c>
      <c r="Q539" s="48">
        <v>0</v>
      </c>
      <c r="R539" s="48">
        <v>0</v>
      </c>
      <c r="S539" s="48">
        <v>0</v>
      </c>
      <c r="T539" s="48">
        <f t="shared" si="334"/>
        <v>0</v>
      </c>
      <c r="U539" s="48">
        <f t="shared" si="335"/>
        <v>0</v>
      </c>
    </row>
    <row r="540" spans="1:21" ht="18.75" hidden="1" x14ac:dyDescent="0.25">
      <c r="A540" s="128"/>
      <c r="B540" s="199"/>
      <c r="C540" s="199"/>
      <c r="D540" s="199"/>
      <c r="E540" s="270" t="s">
        <v>37</v>
      </c>
      <c r="F540" s="199"/>
      <c r="G540" s="42"/>
      <c r="H540" s="134" t="s">
        <v>14</v>
      </c>
      <c r="I540" s="135"/>
      <c r="J540" s="135"/>
      <c r="K540" s="136"/>
      <c r="L540" s="519">
        <v>0</v>
      </c>
      <c r="M540" s="46">
        <v>0</v>
      </c>
      <c r="N540" s="46">
        <v>0</v>
      </c>
      <c r="O540" s="46">
        <f t="shared" si="331"/>
        <v>0</v>
      </c>
      <c r="P540" s="46">
        <f t="shared" si="332"/>
        <v>0</v>
      </c>
      <c r="Q540" s="46">
        <v>0</v>
      </c>
      <c r="R540" s="46">
        <v>0</v>
      </c>
      <c r="S540" s="46">
        <v>0</v>
      </c>
      <c r="T540" s="46">
        <f t="shared" si="334"/>
        <v>0</v>
      </c>
      <c r="U540" s="46">
        <f t="shared" si="335"/>
        <v>0</v>
      </c>
    </row>
    <row r="541" spans="1:21" ht="18.75" hidden="1" x14ac:dyDescent="0.25">
      <c r="A541" s="128"/>
      <c r="B541" s="199"/>
      <c r="C541" s="199"/>
      <c r="D541" s="41" t="s">
        <v>23</v>
      </c>
      <c r="E541" s="199"/>
      <c r="F541" s="199"/>
      <c r="G541" s="42"/>
      <c r="H541" s="137" t="s">
        <v>14</v>
      </c>
      <c r="I541" s="135"/>
      <c r="J541" s="135"/>
      <c r="K541" s="136"/>
      <c r="L541" s="519">
        <f t="shared" ref="L541:N541" si="340">L542+L543</f>
        <v>0</v>
      </c>
      <c r="M541" s="46">
        <f t="shared" si="340"/>
        <v>0</v>
      </c>
      <c r="N541" s="46">
        <f t="shared" si="340"/>
        <v>0</v>
      </c>
      <c r="O541" s="46">
        <f t="shared" si="331"/>
        <v>0</v>
      </c>
      <c r="P541" s="46">
        <f t="shared" si="332"/>
        <v>0</v>
      </c>
      <c r="Q541" s="46">
        <f t="shared" ref="Q541:S541" si="341">Q542+Q543</f>
        <v>0</v>
      </c>
      <c r="R541" s="46">
        <f t="shared" si="341"/>
        <v>0</v>
      </c>
      <c r="S541" s="46">
        <f t="shared" si="341"/>
        <v>0</v>
      </c>
      <c r="T541" s="46">
        <f t="shared" si="334"/>
        <v>0</v>
      </c>
      <c r="U541" s="46">
        <f t="shared" si="335"/>
        <v>0</v>
      </c>
    </row>
    <row r="542" spans="1:21" ht="18.75" hidden="1" x14ac:dyDescent="0.25">
      <c r="A542" s="128"/>
      <c r="B542" s="199"/>
      <c r="C542" s="199"/>
      <c r="D542" s="199"/>
      <c r="E542" s="157" t="s">
        <v>20</v>
      </c>
      <c r="F542" s="199"/>
      <c r="G542" s="42"/>
      <c r="H542" s="160" t="s">
        <v>14</v>
      </c>
      <c r="I542" s="135"/>
      <c r="J542" s="135"/>
      <c r="K542" s="136"/>
      <c r="L542" s="521">
        <v>0</v>
      </c>
      <c r="M542" s="48">
        <v>0</v>
      </c>
      <c r="N542" s="48">
        <v>0</v>
      </c>
      <c r="O542" s="48">
        <f t="shared" si="331"/>
        <v>0</v>
      </c>
      <c r="P542" s="48">
        <f t="shared" si="332"/>
        <v>0</v>
      </c>
      <c r="Q542" s="48">
        <v>0</v>
      </c>
      <c r="R542" s="48">
        <v>0</v>
      </c>
      <c r="S542" s="48">
        <v>0</v>
      </c>
      <c r="T542" s="48">
        <f t="shared" si="334"/>
        <v>0</v>
      </c>
      <c r="U542" s="48">
        <f t="shared" si="335"/>
        <v>0</v>
      </c>
    </row>
    <row r="543" spans="1:21" ht="18.75" hidden="1" x14ac:dyDescent="0.25">
      <c r="A543" s="128"/>
      <c r="B543" s="199"/>
      <c r="C543" s="199"/>
      <c r="D543" s="199"/>
      <c r="E543" s="270" t="s">
        <v>21</v>
      </c>
      <c r="F543" s="199"/>
      <c r="G543" s="42"/>
      <c r="H543" s="137" t="s">
        <v>14</v>
      </c>
      <c r="I543" s="135"/>
      <c r="J543" s="135"/>
      <c r="K543" s="136"/>
      <c r="L543" s="519">
        <v>0</v>
      </c>
      <c r="M543" s="46">
        <v>0</v>
      </c>
      <c r="N543" s="46">
        <v>0</v>
      </c>
      <c r="O543" s="46">
        <f t="shared" si="331"/>
        <v>0</v>
      </c>
      <c r="P543" s="46">
        <f t="shared" si="332"/>
        <v>0</v>
      </c>
      <c r="Q543" s="46">
        <v>0</v>
      </c>
      <c r="R543" s="46">
        <v>0</v>
      </c>
      <c r="S543" s="46">
        <v>0</v>
      </c>
      <c r="T543" s="46">
        <f t="shared" si="334"/>
        <v>0</v>
      </c>
      <c r="U543" s="46">
        <f t="shared" si="335"/>
        <v>0</v>
      </c>
    </row>
    <row r="544" spans="1:21" ht="19.5" hidden="1" x14ac:dyDescent="0.3">
      <c r="A544" s="138"/>
      <c r="B544" s="139"/>
      <c r="C544" s="391" t="s">
        <v>18</v>
      </c>
      <c r="D544" s="546" t="s">
        <v>38</v>
      </c>
      <c r="E544" s="141"/>
      <c r="F544" s="141"/>
      <c r="G544" s="142"/>
      <c r="H544" s="143"/>
      <c r="I544" s="135"/>
      <c r="J544" s="44"/>
      <c r="K544" s="45"/>
      <c r="L544" s="522"/>
      <c r="M544" s="45"/>
      <c r="N544" s="45"/>
      <c r="O544" s="136"/>
      <c r="P544" s="136"/>
      <c r="Q544" s="45"/>
      <c r="R544" s="45"/>
      <c r="S544" s="45"/>
      <c r="T544" s="136"/>
      <c r="U544" s="136"/>
    </row>
    <row r="545" spans="1:21" ht="12.75" hidden="1" x14ac:dyDescent="0.2">
      <c r="A545" s="249"/>
      <c r="B545" s="251"/>
      <c r="C545" s="250"/>
      <c r="D545" s="251"/>
      <c r="E545" s="250"/>
      <c r="F545" s="251"/>
      <c r="G545" s="252"/>
      <c r="H545" s="252"/>
      <c r="I545" s="254"/>
      <c r="J545" s="254"/>
      <c r="K545" s="255"/>
      <c r="L545" s="693"/>
      <c r="M545" s="255"/>
      <c r="N545" s="255"/>
      <c r="O545" s="255"/>
      <c r="P545" s="255"/>
      <c r="Q545" s="255"/>
      <c r="R545" s="255"/>
      <c r="S545" s="255"/>
      <c r="T545" s="255"/>
      <c r="U545" s="255"/>
    </row>
    <row r="546" spans="1:21" ht="12.75" hidden="1" x14ac:dyDescent="0.2">
      <c r="A546" s="249"/>
      <c r="B546" s="251"/>
      <c r="C546" s="250"/>
      <c r="D546" s="251"/>
      <c r="E546" s="250"/>
      <c r="F546" s="251"/>
      <c r="G546" s="252"/>
      <c r="H546" s="252"/>
      <c r="I546" s="254"/>
      <c r="J546" s="254"/>
      <c r="K546" s="255"/>
      <c r="L546" s="693"/>
      <c r="M546" s="255"/>
      <c r="N546" s="255"/>
      <c r="O546" s="255"/>
      <c r="P546" s="255"/>
      <c r="Q546" s="255"/>
      <c r="R546" s="255"/>
      <c r="S546" s="255"/>
      <c r="T546" s="255"/>
      <c r="U546" s="255"/>
    </row>
    <row r="547" spans="1:21" ht="12.75" hidden="1" x14ac:dyDescent="0.2">
      <c r="A547" s="249"/>
      <c r="B547" s="250"/>
      <c r="C547" s="250"/>
      <c r="D547" s="251"/>
      <c r="E547" s="251"/>
      <c r="F547" s="251"/>
      <c r="G547" s="252"/>
      <c r="H547" s="253"/>
      <c r="I547" s="254"/>
      <c r="J547" s="254"/>
      <c r="K547" s="255"/>
      <c r="L547" s="693"/>
      <c r="M547" s="255"/>
      <c r="N547" s="255"/>
      <c r="O547" s="255"/>
      <c r="P547" s="255"/>
      <c r="Q547" s="255"/>
      <c r="R547" s="255"/>
      <c r="S547" s="255"/>
      <c r="T547" s="255"/>
      <c r="U547" s="255"/>
    </row>
    <row r="548" spans="1:21" ht="12.75" hidden="1" x14ac:dyDescent="0.2">
      <c r="A548" s="249"/>
      <c r="B548" s="250"/>
      <c r="C548" s="250"/>
      <c r="D548" s="251"/>
      <c r="E548" s="251"/>
      <c r="F548" s="251"/>
      <c r="G548" s="252"/>
      <c r="H548" s="253"/>
      <c r="I548" s="254"/>
      <c r="J548" s="254"/>
      <c r="K548" s="255"/>
      <c r="L548" s="693"/>
      <c r="M548" s="255"/>
      <c r="N548" s="255"/>
      <c r="O548" s="255"/>
      <c r="P548" s="255"/>
      <c r="Q548" s="255"/>
      <c r="R548" s="255"/>
      <c r="S548" s="255"/>
      <c r="T548" s="255"/>
      <c r="U548" s="255"/>
    </row>
    <row r="549" spans="1:21" ht="12.75" hidden="1" x14ac:dyDescent="0.2">
      <c r="A549" s="249"/>
      <c r="B549" s="250"/>
      <c r="C549" s="250"/>
      <c r="D549" s="251"/>
      <c r="E549" s="251"/>
      <c r="F549" s="251"/>
      <c r="G549" s="252"/>
      <c r="H549" s="253"/>
      <c r="I549" s="254"/>
      <c r="J549" s="254"/>
      <c r="K549" s="255"/>
      <c r="L549" s="693"/>
      <c r="M549" s="255"/>
      <c r="N549" s="255"/>
      <c r="O549" s="255"/>
      <c r="P549" s="255"/>
      <c r="Q549" s="255"/>
      <c r="R549" s="255"/>
      <c r="S549" s="255"/>
      <c r="T549" s="255"/>
      <c r="U549" s="255"/>
    </row>
    <row r="550" spans="1:21" ht="12.75" hidden="1" x14ac:dyDescent="0.2">
      <c r="A550" s="249"/>
      <c r="B550" s="250"/>
      <c r="C550" s="250"/>
      <c r="D550" s="251"/>
      <c r="E550" s="251"/>
      <c r="F550" s="251"/>
      <c r="G550" s="252"/>
      <c r="H550" s="253"/>
      <c r="I550" s="254"/>
      <c r="J550" s="254"/>
      <c r="K550" s="255"/>
      <c r="L550" s="693"/>
      <c r="M550" s="255"/>
      <c r="N550" s="255"/>
      <c r="O550" s="255"/>
      <c r="P550" s="255"/>
      <c r="Q550" s="255"/>
      <c r="R550" s="255"/>
      <c r="S550" s="255"/>
      <c r="T550" s="255"/>
      <c r="U550" s="255"/>
    </row>
    <row r="551" spans="1:21" ht="12.75" hidden="1" x14ac:dyDescent="0.2">
      <c r="A551" s="249"/>
      <c r="B551" s="250"/>
      <c r="C551" s="250"/>
      <c r="D551" s="251"/>
      <c r="E551" s="251"/>
      <c r="F551" s="251"/>
      <c r="G551" s="252"/>
      <c r="H551" s="253"/>
      <c r="I551" s="254"/>
      <c r="J551" s="254"/>
      <c r="K551" s="255"/>
      <c r="L551" s="693"/>
      <c r="M551" s="255"/>
      <c r="N551" s="255"/>
      <c r="O551" s="255"/>
      <c r="P551" s="255"/>
      <c r="Q551" s="255"/>
      <c r="R551" s="255"/>
      <c r="S551" s="255"/>
      <c r="T551" s="255"/>
      <c r="U551" s="255"/>
    </row>
    <row r="552" spans="1:21" ht="12.75" hidden="1" x14ac:dyDescent="0.2">
      <c r="A552" s="249"/>
      <c r="B552" s="250"/>
      <c r="C552" s="250"/>
      <c r="D552" s="251"/>
      <c r="E552" s="251"/>
      <c r="F552" s="251"/>
      <c r="G552" s="252"/>
      <c r="H552" s="253"/>
      <c r="I552" s="254"/>
      <c r="J552" s="254"/>
      <c r="K552" s="255"/>
      <c r="L552" s="693"/>
      <c r="M552" s="255"/>
      <c r="N552" s="255"/>
      <c r="O552" s="255"/>
      <c r="P552" s="255"/>
      <c r="Q552" s="255"/>
      <c r="R552" s="255"/>
      <c r="S552" s="255"/>
      <c r="T552" s="255"/>
      <c r="U552" s="255"/>
    </row>
    <row r="553" spans="1:21" ht="12.75" hidden="1" x14ac:dyDescent="0.2">
      <c r="A553" s="249"/>
      <c r="B553" s="250"/>
      <c r="C553" s="250"/>
      <c r="D553" s="251"/>
      <c r="E553" s="251"/>
      <c r="F553" s="251"/>
      <c r="G553" s="252"/>
      <c r="H553" s="253"/>
      <c r="I553" s="254"/>
      <c r="J553" s="254"/>
      <c r="K553" s="255"/>
      <c r="L553" s="693"/>
      <c r="M553" s="255"/>
      <c r="N553" s="255"/>
      <c r="O553" s="255"/>
      <c r="P553" s="255"/>
      <c r="Q553" s="255"/>
      <c r="R553" s="255"/>
      <c r="S553" s="255"/>
      <c r="T553" s="255"/>
      <c r="U553" s="255"/>
    </row>
    <row r="554" spans="1:21" ht="12.75" hidden="1" x14ac:dyDescent="0.2">
      <c r="A554" s="386"/>
      <c r="B554" s="341"/>
      <c r="C554" s="341"/>
      <c r="D554" s="387"/>
      <c r="E554" s="387"/>
      <c r="F554" s="387"/>
      <c r="G554" s="388"/>
      <c r="H554" s="342"/>
      <c r="I554" s="343"/>
      <c r="J554" s="343"/>
      <c r="K554" s="344"/>
      <c r="L554" s="694"/>
      <c r="M554" s="344"/>
      <c r="N554" s="344"/>
      <c r="O554" s="344"/>
      <c r="P554" s="344"/>
      <c r="Q554" s="344"/>
      <c r="R554" s="344"/>
      <c r="S554" s="344"/>
      <c r="T554" s="344"/>
      <c r="U554" s="344"/>
    </row>
    <row r="555" spans="1:21" ht="19.5" hidden="1" x14ac:dyDescent="0.3">
      <c r="A555" s="375"/>
      <c r="B555" s="376" t="s">
        <v>211</v>
      </c>
      <c r="C555" s="377"/>
      <c r="D555" s="378"/>
      <c r="E555" s="378"/>
      <c r="F555" s="378"/>
      <c r="G555" s="379"/>
      <c r="H555" s="389" t="s">
        <v>61</v>
      </c>
      <c r="I555" s="741">
        <f t="shared" ref="I555:J555" si="342">I567</f>
        <v>0</v>
      </c>
      <c r="J555" s="741">
        <f t="shared" si="342"/>
        <v>0</v>
      </c>
      <c r="K555" s="382">
        <f>IF(I555&gt;0,J555*100/I555,0)</f>
        <v>0</v>
      </c>
      <c r="L555" s="719"/>
      <c r="M555" s="383"/>
      <c r="N555" s="383"/>
      <c r="O555" s="383"/>
      <c r="P555" s="383"/>
      <c r="Q555" s="383"/>
      <c r="R555" s="383"/>
      <c r="S555" s="383"/>
      <c r="T555" s="383"/>
      <c r="U555" s="383"/>
    </row>
    <row r="556" spans="1:21" ht="19.5" hidden="1" x14ac:dyDescent="0.3">
      <c r="A556" s="128"/>
      <c r="B556" s="199"/>
      <c r="C556" s="198" t="s">
        <v>18</v>
      </c>
      <c r="D556" s="544" t="s">
        <v>19</v>
      </c>
      <c r="E556" s="199"/>
      <c r="F556" s="199"/>
      <c r="G556" s="42"/>
      <c r="H556" s="131" t="s">
        <v>14</v>
      </c>
      <c r="I556" s="44"/>
      <c r="J556" s="44"/>
      <c r="K556" s="45"/>
      <c r="L556" s="545">
        <f t="shared" ref="L556:N556" si="343">L557+L558</f>
        <v>0</v>
      </c>
      <c r="M556" s="132">
        <f t="shared" si="343"/>
        <v>0</v>
      </c>
      <c r="N556" s="132">
        <f t="shared" si="343"/>
        <v>0</v>
      </c>
      <c r="O556" s="132">
        <f t="shared" ref="O556:O564" si="344">IF(L556&gt;0,N556*100/L556,0)</f>
        <v>0</v>
      </c>
      <c r="P556" s="132">
        <f t="shared" ref="P556:P564" si="345">IF(M556&gt;0,N556*100/M556,0)</f>
        <v>0</v>
      </c>
      <c r="Q556" s="132">
        <f t="shared" ref="Q556:S556" si="346">Q557+Q558</f>
        <v>0</v>
      </c>
      <c r="R556" s="132">
        <f t="shared" si="346"/>
        <v>0</v>
      </c>
      <c r="S556" s="132">
        <f t="shared" si="346"/>
        <v>0</v>
      </c>
      <c r="T556" s="132">
        <f t="shared" ref="T556:T564" si="347">IF(Q556&gt;0,S556*100/Q556,0)</f>
        <v>0</v>
      </c>
      <c r="U556" s="132">
        <f t="shared" ref="U556:U564" si="348">IF(R556&gt;0,S556*100/R556,0)</f>
        <v>0</v>
      </c>
    </row>
    <row r="557" spans="1:21" ht="18.75" hidden="1" x14ac:dyDescent="0.25">
      <c r="A557" s="128"/>
      <c r="B557" s="159"/>
      <c r="C557" s="199"/>
      <c r="D557" s="199"/>
      <c r="E557" s="157" t="s">
        <v>20</v>
      </c>
      <c r="F557" s="199"/>
      <c r="G557" s="42"/>
      <c r="H557" s="158" t="s">
        <v>14</v>
      </c>
      <c r="I557" s="44"/>
      <c r="J557" s="44"/>
      <c r="K557" s="45"/>
      <c r="L557" s="521">
        <f t="shared" ref="L557:N558" si="349">L560+L563</f>
        <v>0</v>
      </c>
      <c r="M557" s="48">
        <f t="shared" si="349"/>
        <v>0</v>
      </c>
      <c r="N557" s="48">
        <f t="shared" si="349"/>
        <v>0</v>
      </c>
      <c r="O557" s="48">
        <f t="shared" si="344"/>
        <v>0</v>
      </c>
      <c r="P557" s="48">
        <f t="shared" si="345"/>
        <v>0</v>
      </c>
      <c r="Q557" s="48">
        <f t="shared" ref="Q557:S558" si="350">Q560+Q563</f>
        <v>0</v>
      </c>
      <c r="R557" s="48">
        <f t="shared" si="350"/>
        <v>0</v>
      </c>
      <c r="S557" s="48">
        <f t="shared" si="350"/>
        <v>0</v>
      </c>
      <c r="T557" s="48">
        <f t="shared" si="347"/>
        <v>0</v>
      </c>
      <c r="U557" s="48">
        <f t="shared" si="348"/>
        <v>0</v>
      </c>
    </row>
    <row r="558" spans="1:21" ht="18.75" hidden="1" x14ac:dyDescent="0.25">
      <c r="A558" s="128"/>
      <c r="B558" s="199"/>
      <c r="C558" s="159"/>
      <c r="D558" s="199"/>
      <c r="E558" s="440" t="s">
        <v>21</v>
      </c>
      <c r="F558" s="199"/>
      <c r="G558" s="42"/>
      <c r="H558" s="133" t="s">
        <v>14</v>
      </c>
      <c r="I558" s="44"/>
      <c r="J558" s="44"/>
      <c r="K558" s="45"/>
      <c r="L558" s="519">
        <f t="shared" si="349"/>
        <v>0</v>
      </c>
      <c r="M558" s="46">
        <f t="shared" si="349"/>
        <v>0</v>
      </c>
      <c r="N558" s="46">
        <f t="shared" si="349"/>
        <v>0</v>
      </c>
      <c r="O558" s="46">
        <f t="shared" si="344"/>
        <v>0</v>
      </c>
      <c r="P558" s="46">
        <f t="shared" si="345"/>
        <v>0</v>
      </c>
      <c r="Q558" s="46">
        <f t="shared" si="350"/>
        <v>0</v>
      </c>
      <c r="R558" s="46">
        <f t="shared" si="350"/>
        <v>0</v>
      </c>
      <c r="S558" s="46">
        <f t="shared" si="350"/>
        <v>0</v>
      </c>
      <c r="T558" s="46">
        <f t="shared" si="347"/>
        <v>0</v>
      </c>
      <c r="U558" s="46">
        <f t="shared" si="348"/>
        <v>0</v>
      </c>
    </row>
    <row r="559" spans="1:21" ht="18.75" hidden="1" x14ac:dyDescent="0.25">
      <c r="A559" s="128"/>
      <c r="B559" s="199"/>
      <c r="C559" s="159"/>
      <c r="D559" s="41" t="s">
        <v>22</v>
      </c>
      <c r="E559" s="159"/>
      <c r="F559" s="199"/>
      <c r="G559" s="42"/>
      <c r="H559" s="134" t="s">
        <v>14</v>
      </c>
      <c r="I559" s="135"/>
      <c r="J559" s="135"/>
      <c r="K559" s="136"/>
      <c r="L559" s="519">
        <f t="shared" ref="L559:N559" si="351">L560+L561</f>
        <v>0</v>
      </c>
      <c r="M559" s="46">
        <f t="shared" si="351"/>
        <v>0</v>
      </c>
      <c r="N559" s="46">
        <f t="shared" si="351"/>
        <v>0</v>
      </c>
      <c r="O559" s="46">
        <f t="shared" si="344"/>
        <v>0</v>
      </c>
      <c r="P559" s="46">
        <f t="shared" si="345"/>
        <v>0</v>
      </c>
      <c r="Q559" s="46">
        <f t="shared" ref="Q559:S559" si="352">Q560+Q561</f>
        <v>0</v>
      </c>
      <c r="R559" s="46">
        <f t="shared" si="352"/>
        <v>0</v>
      </c>
      <c r="S559" s="46">
        <f t="shared" si="352"/>
        <v>0</v>
      </c>
      <c r="T559" s="46">
        <f t="shared" si="347"/>
        <v>0</v>
      </c>
      <c r="U559" s="46">
        <f t="shared" si="348"/>
        <v>0</v>
      </c>
    </row>
    <row r="560" spans="1:21" ht="18.75" hidden="1" x14ac:dyDescent="0.25">
      <c r="A560" s="128"/>
      <c r="B560" s="199"/>
      <c r="C560" s="199"/>
      <c r="D560" s="199"/>
      <c r="E560" s="157" t="s">
        <v>36</v>
      </c>
      <c r="F560" s="199"/>
      <c r="G560" s="42"/>
      <c r="H560" s="160" t="s">
        <v>14</v>
      </c>
      <c r="I560" s="135"/>
      <c r="J560" s="135"/>
      <c r="K560" s="136"/>
      <c r="L560" s="521">
        <v>0</v>
      </c>
      <c r="M560" s="48">
        <v>0</v>
      </c>
      <c r="N560" s="48">
        <v>0</v>
      </c>
      <c r="O560" s="48">
        <f t="shared" si="344"/>
        <v>0</v>
      </c>
      <c r="P560" s="48">
        <f t="shared" si="345"/>
        <v>0</v>
      </c>
      <c r="Q560" s="48">
        <v>0</v>
      </c>
      <c r="R560" s="48">
        <v>0</v>
      </c>
      <c r="S560" s="48">
        <v>0</v>
      </c>
      <c r="T560" s="48">
        <f t="shared" si="347"/>
        <v>0</v>
      </c>
      <c r="U560" s="48">
        <f t="shared" si="348"/>
        <v>0</v>
      </c>
    </row>
    <row r="561" spans="1:21" ht="18.75" hidden="1" x14ac:dyDescent="0.25">
      <c r="A561" s="128"/>
      <c r="B561" s="199"/>
      <c r="C561" s="199"/>
      <c r="D561" s="199"/>
      <c r="E561" s="270" t="s">
        <v>37</v>
      </c>
      <c r="F561" s="199"/>
      <c r="G561" s="42"/>
      <c r="H561" s="134" t="s">
        <v>14</v>
      </c>
      <c r="I561" s="135"/>
      <c r="J561" s="135"/>
      <c r="K561" s="136"/>
      <c r="L561" s="519">
        <v>0</v>
      </c>
      <c r="M561" s="46">
        <v>0</v>
      </c>
      <c r="N561" s="46">
        <v>0</v>
      </c>
      <c r="O561" s="46">
        <f t="shared" si="344"/>
        <v>0</v>
      </c>
      <c r="P561" s="46">
        <f t="shared" si="345"/>
        <v>0</v>
      </c>
      <c r="Q561" s="46">
        <v>0</v>
      </c>
      <c r="R561" s="46">
        <v>0</v>
      </c>
      <c r="S561" s="46">
        <v>0</v>
      </c>
      <c r="T561" s="46">
        <f t="shared" si="347"/>
        <v>0</v>
      </c>
      <c r="U561" s="46">
        <f t="shared" si="348"/>
        <v>0</v>
      </c>
    </row>
    <row r="562" spans="1:21" ht="18.75" hidden="1" x14ac:dyDescent="0.25">
      <c r="A562" s="128"/>
      <c r="B562" s="199"/>
      <c r="C562" s="199"/>
      <c r="D562" s="41" t="s">
        <v>23</v>
      </c>
      <c r="E562" s="199"/>
      <c r="F562" s="199"/>
      <c r="G562" s="42"/>
      <c r="H562" s="137" t="s">
        <v>14</v>
      </c>
      <c r="I562" s="135"/>
      <c r="J562" s="135"/>
      <c r="K562" s="136"/>
      <c r="L562" s="519">
        <f t="shared" ref="L562:N562" si="353">L563+L564</f>
        <v>0</v>
      </c>
      <c r="M562" s="46">
        <f t="shared" si="353"/>
        <v>0</v>
      </c>
      <c r="N562" s="46">
        <f t="shared" si="353"/>
        <v>0</v>
      </c>
      <c r="O562" s="46">
        <f t="shared" si="344"/>
        <v>0</v>
      </c>
      <c r="P562" s="46">
        <f t="shared" si="345"/>
        <v>0</v>
      </c>
      <c r="Q562" s="46">
        <f t="shared" ref="Q562:S562" si="354">Q563+Q564</f>
        <v>0</v>
      </c>
      <c r="R562" s="46">
        <f t="shared" si="354"/>
        <v>0</v>
      </c>
      <c r="S562" s="46">
        <f t="shared" si="354"/>
        <v>0</v>
      </c>
      <c r="T562" s="46">
        <f t="shared" si="347"/>
        <v>0</v>
      </c>
      <c r="U562" s="46">
        <f t="shared" si="348"/>
        <v>0</v>
      </c>
    </row>
    <row r="563" spans="1:21" ht="18.75" hidden="1" x14ac:dyDescent="0.25">
      <c r="A563" s="128"/>
      <c r="B563" s="199"/>
      <c r="C563" s="199"/>
      <c r="D563" s="199"/>
      <c r="E563" s="157" t="s">
        <v>20</v>
      </c>
      <c r="F563" s="199"/>
      <c r="G563" s="42"/>
      <c r="H563" s="160" t="s">
        <v>14</v>
      </c>
      <c r="I563" s="135"/>
      <c r="J563" s="135"/>
      <c r="K563" s="136"/>
      <c r="L563" s="521">
        <v>0</v>
      </c>
      <c r="M563" s="48">
        <v>0</v>
      </c>
      <c r="N563" s="48">
        <v>0</v>
      </c>
      <c r="O563" s="48">
        <f t="shared" si="344"/>
        <v>0</v>
      </c>
      <c r="P563" s="48">
        <f t="shared" si="345"/>
        <v>0</v>
      </c>
      <c r="Q563" s="48">
        <v>0</v>
      </c>
      <c r="R563" s="48">
        <v>0</v>
      </c>
      <c r="S563" s="48">
        <v>0</v>
      </c>
      <c r="T563" s="48">
        <f t="shared" si="347"/>
        <v>0</v>
      </c>
      <c r="U563" s="48">
        <f t="shared" si="348"/>
        <v>0</v>
      </c>
    </row>
    <row r="564" spans="1:21" ht="18.75" hidden="1" x14ac:dyDescent="0.25">
      <c r="A564" s="128"/>
      <c r="B564" s="199"/>
      <c r="C564" s="199"/>
      <c r="D564" s="199"/>
      <c r="E564" s="270" t="s">
        <v>21</v>
      </c>
      <c r="F564" s="199"/>
      <c r="G564" s="42"/>
      <c r="H564" s="137" t="s">
        <v>14</v>
      </c>
      <c r="I564" s="135"/>
      <c r="J564" s="135"/>
      <c r="K564" s="136"/>
      <c r="L564" s="519">
        <v>0</v>
      </c>
      <c r="M564" s="46">
        <v>0</v>
      </c>
      <c r="N564" s="46">
        <v>0</v>
      </c>
      <c r="O564" s="46">
        <f t="shared" si="344"/>
        <v>0</v>
      </c>
      <c r="P564" s="46">
        <f t="shared" si="345"/>
        <v>0</v>
      </c>
      <c r="Q564" s="46">
        <v>0</v>
      </c>
      <c r="R564" s="46">
        <v>0</v>
      </c>
      <c r="S564" s="46">
        <v>0</v>
      </c>
      <c r="T564" s="46">
        <f t="shared" si="347"/>
        <v>0</v>
      </c>
      <c r="U564" s="46">
        <f t="shared" si="348"/>
        <v>0</v>
      </c>
    </row>
    <row r="565" spans="1:21" ht="19.5" hidden="1" x14ac:dyDescent="0.3">
      <c r="A565" s="138"/>
      <c r="B565" s="139"/>
      <c r="C565" s="391" t="s">
        <v>18</v>
      </c>
      <c r="D565" s="546" t="s">
        <v>38</v>
      </c>
      <c r="E565" s="141"/>
      <c r="F565" s="141"/>
      <c r="G565" s="142"/>
      <c r="H565" s="143"/>
      <c r="I565" s="135"/>
      <c r="J565" s="44"/>
      <c r="K565" s="45"/>
      <c r="L565" s="522"/>
      <c r="M565" s="45"/>
      <c r="N565" s="45"/>
      <c r="O565" s="136"/>
      <c r="P565" s="136"/>
      <c r="Q565" s="45"/>
      <c r="R565" s="45"/>
      <c r="S565" s="45"/>
      <c r="T565" s="136"/>
      <c r="U565" s="136"/>
    </row>
    <row r="566" spans="1:21" ht="12.75" hidden="1" x14ac:dyDescent="0.2">
      <c r="A566" s="249"/>
      <c r="B566" s="251"/>
      <c r="C566" s="250"/>
      <c r="D566" s="251"/>
      <c r="E566" s="250"/>
      <c r="F566" s="251"/>
      <c r="G566" s="252"/>
      <c r="H566" s="252"/>
      <c r="I566" s="254"/>
      <c r="J566" s="254"/>
      <c r="K566" s="255"/>
      <c r="L566" s="693"/>
      <c r="M566" s="255"/>
      <c r="N566" s="255"/>
      <c r="O566" s="255"/>
      <c r="P566" s="255"/>
      <c r="Q566" s="255"/>
      <c r="R566" s="255"/>
      <c r="S566" s="255"/>
      <c r="T566" s="255"/>
      <c r="U566" s="255"/>
    </row>
    <row r="567" spans="1:21" ht="12.75" hidden="1" x14ac:dyDescent="0.2">
      <c r="A567" s="249"/>
      <c r="B567" s="251"/>
      <c r="C567" s="250"/>
      <c r="D567" s="251"/>
      <c r="E567" s="250"/>
      <c r="F567" s="251"/>
      <c r="G567" s="252"/>
      <c r="H567" s="252"/>
      <c r="I567" s="254"/>
      <c r="J567" s="254"/>
      <c r="K567" s="255"/>
      <c r="L567" s="693"/>
      <c r="M567" s="255"/>
      <c r="N567" s="255"/>
      <c r="O567" s="255"/>
      <c r="P567" s="255"/>
      <c r="Q567" s="255"/>
      <c r="R567" s="255"/>
      <c r="S567" s="255"/>
      <c r="T567" s="255"/>
      <c r="U567" s="255"/>
    </row>
    <row r="568" spans="1:21" ht="12.75" hidden="1" x14ac:dyDescent="0.2">
      <c r="A568" s="249"/>
      <c r="B568" s="250"/>
      <c r="C568" s="250"/>
      <c r="D568" s="251"/>
      <c r="E568" s="251"/>
      <c r="F568" s="251"/>
      <c r="G568" s="252"/>
      <c r="H568" s="253"/>
      <c r="I568" s="254"/>
      <c r="J568" s="254"/>
      <c r="K568" s="255"/>
      <c r="L568" s="693"/>
      <c r="M568" s="255"/>
      <c r="N568" s="255"/>
      <c r="O568" s="255"/>
      <c r="P568" s="255"/>
      <c r="Q568" s="255"/>
      <c r="R568" s="255"/>
      <c r="S568" s="255"/>
      <c r="T568" s="255"/>
      <c r="U568" s="255"/>
    </row>
    <row r="569" spans="1:21" ht="12.75" hidden="1" x14ac:dyDescent="0.2">
      <c r="A569" s="249"/>
      <c r="B569" s="250"/>
      <c r="C569" s="250"/>
      <c r="D569" s="251"/>
      <c r="E569" s="251"/>
      <c r="F569" s="251"/>
      <c r="G569" s="252"/>
      <c r="H569" s="253"/>
      <c r="I569" s="254"/>
      <c r="J569" s="254"/>
      <c r="K569" s="255"/>
      <c r="L569" s="693"/>
      <c r="M569" s="255"/>
      <c r="N569" s="255"/>
      <c r="O569" s="255"/>
      <c r="P569" s="255"/>
      <c r="Q569" s="255"/>
      <c r="R569" s="255"/>
      <c r="S569" s="255"/>
      <c r="T569" s="255"/>
      <c r="U569" s="255"/>
    </row>
    <row r="570" spans="1:21" ht="12.75" hidden="1" x14ac:dyDescent="0.2">
      <c r="A570" s="249"/>
      <c r="B570" s="250"/>
      <c r="C570" s="250"/>
      <c r="D570" s="251"/>
      <c r="E570" s="251"/>
      <c r="F570" s="251"/>
      <c r="G570" s="252"/>
      <c r="H570" s="253"/>
      <c r="I570" s="254"/>
      <c r="J570" s="254"/>
      <c r="K570" s="255"/>
      <c r="L570" s="693"/>
      <c r="M570" s="255"/>
      <c r="N570" s="255"/>
      <c r="O570" s="255"/>
      <c r="P570" s="255"/>
      <c r="Q570" s="255"/>
      <c r="R570" s="255"/>
      <c r="S570" s="255"/>
      <c r="T570" s="255"/>
      <c r="U570" s="255"/>
    </row>
    <row r="571" spans="1:21" ht="12.75" hidden="1" x14ac:dyDescent="0.2">
      <c r="A571" s="249"/>
      <c r="B571" s="250"/>
      <c r="C571" s="250"/>
      <c r="D571" s="251"/>
      <c r="E571" s="251"/>
      <c r="F571" s="251"/>
      <c r="G571" s="252"/>
      <c r="H571" s="253"/>
      <c r="I571" s="254"/>
      <c r="J571" s="254"/>
      <c r="K571" s="255"/>
      <c r="L571" s="693"/>
      <c r="M571" s="255"/>
      <c r="N571" s="255"/>
      <c r="O571" s="255"/>
      <c r="P571" s="255"/>
      <c r="Q571" s="255"/>
      <c r="R571" s="255"/>
      <c r="S571" s="255"/>
      <c r="T571" s="255"/>
      <c r="U571" s="255"/>
    </row>
    <row r="572" spans="1:21" ht="12.75" hidden="1" x14ac:dyDescent="0.2">
      <c r="A572" s="249"/>
      <c r="B572" s="250"/>
      <c r="C572" s="250"/>
      <c r="D572" s="251"/>
      <c r="E572" s="251"/>
      <c r="F572" s="251"/>
      <c r="G572" s="252"/>
      <c r="H572" s="253"/>
      <c r="I572" s="254"/>
      <c r="J572" s="254"/>
      <c r="K572" s="255"/>
      <c r="L572" s="693"/>
      <c r="M572" s="255"/>
      <c r="N572" s="255"/>
      <c r="O572" s="255"/>
      <c r="P572" s="255"/>
      <c r="Q572" s="255"/>
      <c r="R572" s="255"/>
      <c r="S572" s="255"/>
      <c r="T572" s="255"/>
      <c r="U572" s="255"/>
    </row>
    <row r="573" spans="1:21" ht="12.75" hidden="1" x14ac:dyDescent="0.2">
      <c r="A573" s="249"/>
      <c r="B573" s="250"/>
      <c r="C573" s="250"/>
      <c r="D573" s="251"/>
      <c r="E573" s="251"/>
      <c r="F573" s="251"/>
      <c r="G573" s="252"/>
      <c r="H573" s="253"/>
      <c r="I573" s="254"/>
      <c r="J573" s="254"/>
      <c r="K573" s="255"/>
      <c r="L573" s="693"/>
      <c r="M573" s="255"/>
      <c r="N573" s="255"/>
      <c r="O573" s="255"/>
      <c r="P573" s="255"/>
      <c r="Q573" s="255"/>
      <c r="R573" s="255"/>
      <c r="S573" s="255"/>
      <c r="T573" s="255"/>
      <c r="U573" s="255"/>
    </row>
    <row r="574" spans="1:21" ht="12.75" hidden="1" x14ac:dyDescent="0.2">
      <c r="A574" s="249"/>
      <c r="B574" s="250"/>
      <c r="C574" s="250"/>
      <c r="D574" s="251"/>
      <c r="E574" s="251"/>
      <c r="F574" s="251"/>
      <c r="G574" s="252"/>
      <c r="H574" s="253"/>
      <c r="I574" s="254"/>
      <c r="J574" s="254"/>
      <c r="K574" s="255"/>
      <c r="L574" s="693"/>
      <c r="M574" s="255"/>
      <c r="N574" s="255"/>
      <c r="O574" s="255"/>
      <c r="P574" s="255"/>
      <c r="Q574" s="255"/>
      <c r="R574" s="255"/>
      <c r="S574" s="255"/>
      <c r="T574" s="255"/>
      <c r="U574" s="255"/>
    </row>
    <row r="575" spans="1:21" ht="12.75" hidden="1" x14ac:dyDescent="0.2">
      <c r="A575" s="386"/>
      <c r="B575" s="341"/>
      <c r="C575" s="341"/>
      <c r="D575" s="387"/>
      <c r="E575" s="387"/>
      <c r="F575" s="387"/>
      <c r="G575" s="388"/>
      <c r="H575" s="342"/>
      <c r="I575" s="343"/>
      <c r="J575" s="343"/>
      <c r="K575" s="344"/>
      <c r="L575" s="694"/>
      <c r="M575" s="344"/>
      <c r="N575" s="344"/>
      <c r="O575" s="344"/>
      <c r="P575" s="344"/>
      <c r="Q575" s="344"/>
      <c r="R575" s="344"/>
      <c r="S575" s="344"/>
      <c r="T575" s="344"/>
      <c r="U575" s="344"/>
    </row>
    <row r="576" spans="1:21" ht="19.5" hidden="1" x14ac:dyDescent="0.3">
      <c r="A576" s="375"/>
      <c r="B576" s="376" t="s">
        <v>212</v>
      </c>
      <c r="C576" s="377"/>
      <c r="D576" s="378"/>
      <c r="E576" s="378"/>
      <c r="F576" s="378"/>
      <c r="G576" s="379"/>
      <c r="H576" s="389" t="s">
        <v>61</v>
      </c>
      <c r="I576" s="741">
        <f t="shared" ref="I576:J576" si="355">I588</f>
        <v>0</v>
      </c>
      <c r="J576" s="741">
        <f t="shared" si="355"/>
        <v>0</v>
      </c>
      <c r="K576" s="382">
        <f>IF(I576&gt;0,J576*100/I576,0)</f>
        <v>0</v>
      </c>
      <c r="L576" s="719"/>
      <c r="M576" s="383"/>
      <c r="N576" s="383"/>
      <c r="O576" s="383"/>
      <c r="P576" s="383"/>
      <c r="Q576" s="383"/>
      <c r="R576" s="383"/>
      <c r="S576" s="383"/>
      <c r="T576" s="383"/>
      <c r="U576" s="383"/>
    </row>
    <row r="577" spans="1:21" ht="19.5" hidden="1" x14ac:dyDescent="0.3">
      <c r="A577" s="128"/>
      <c r="B577" s="199"/>
      <c r="C577" s="198" t="s">
        <v>18</v>
      </c>
      <c r="D577" s="544" t="s">
        <v>19</v>
      </c>
      <c r="E577" s="199"/>
      <c r="F577" s="199"/>
      <c r="G577" s="42"/>
      <c r="H577" s="131" t="s">
        <v>14</v>
      </c>
      <c r="I577" s="44"/>
      <c r="J577" s="44"/>
      <c r="K577" s="45"/>
      <c r="L577" s="545">
        <f t="shared" ref="L577:N577" si="356">L578+L579</f>
        <v>0</v>
      </c>
      <c r="M577" s="132">
        <f t="shared" si="356"/>
        <v>0</v>
      </c>
      <c r="N577" s="132">
        <f t="shared" si="356"/>
        <v>0</v>
      </c>
      <c r="O577" s="132">
        <f t="shared" ref="O577:O585" si="357">IF(L577&gt;0,N577*100/L577,0)</f>
        <v>0</v>
      </c>
      <c r="P577" s="132">
        <f t="shared" ref="P577:P585" si="358">IF(M577&gt;0,N577*100/M577,0)</f>
        <v>0</v>
      </c>
      <c r="Q577" s="132">
        <f t="shared" ref="Q577:S577" si="359">Q578+Q579</f>
        <v>0</v>
      </c>
      <c r="R577" s="132">
        <f t="shared" si="359"/>
        <v>0</v>
      </c>
      <c r="S577" s="132">
        <f t="shared" si="359"/>
        <v>0</v>
      </c>
      <c r="T577" s="132">
        <f t="shared" ref="T577:T585" si="360">IF(Q577&gt;0,S577*100/Q577,0)</f>
        <v>0</v>
      </c>
      <c r="U577" s="132">
        <f t="shared" ref="U577:U585" si="361">IF(R577&gt;0,S577*100/R577,0)</f>
        <v>0</v>
      </c>
    </row>
    <row r="578" spans="1:21" ht="18.75" hidden="1" x14ac:dyDescent="0.25">
      <c r="A578" s="128"/>
      <c r="B578" s="159"/>
      <c r="C578" s="199"/>
      <c r="D578" s="199"/>
      <c r="E578" s="157" t="s">
        <v>20</v>
      </c>
      <c r="F578" s="199"/>
      <c r="G578" s="42"/>
      <c r="H578" s="158" t="s">
        <v>14</v>
      </c>
      <c r="I578" s="44"/>
      <c r="J578" s="44"/>
      <c r="K578" s="45"/>
      <c r="L578" s="521">
        <f t="shared" ref="L578:N579" si="362">L581+L584</f>
        <v>0</v>
      </c>
      <c r="M578" s="48">
        <f t="shared" si="362"/>
        <v>0</v>
      </c>
      <c r="N578" s="48">
        <f t="shared" si="362"/>
        <v>0</v>
      </c>
      <c r="O578" s="48">
        <f t="shared" si="357"/>
        <v>0</v>
      </c>
      <c r="P578" s="48">
        <f t="shared" si="358"/>
        <v>0</v>
      </c>
      <c r="Q578" s="48">
        <f t="shared" ref="Q578:S579" si="363">Q581+Q584</f>
        <v>0</v>
      </c>
      <c r="R578" s="48">
        <f t="shared" si="363"/>
        <v>0</v>
      </c>
      <c r="S578" s="48">
        <f t="shared" si="363"/>
        <v>0</v>
      </c>
      <c r="T578" s="48">
        <f t="shared" si="360"/>
        <v>0</v>
      </c>
      <c r="U578" s="48">
        <f t="shared" si="361"/>
        <v>0</v>
      </c>
    </row>
    <row r="579" spans="1:21" ht="18.75" hidden="1" x14ac:dyDescent="0.25">
      <c r="A579" s="128"/>
      <c r="B579" s="199"/>
      <c r="C579" s="159"/>
      <c r="D579" s="199"/>
      <c r="E579" s="440" t="s">
        <v>21</v>
      </c>
      <c r="F579" s="199"/>
      <c r="G579" s="42"/>
      <c r="H579" s="133" t="s">
        <v>14</v>
      </c>
      <c r="I579" s="44"/>
      <c r="J579" s="44"/>
      <c r="K579" s="45"/>
      <c r="L579" s="519">
        <f t="shared" si="362"/>
        <v>0</v>
      </c>
      <c r="M579" s="46">
        <f t="shared" si="362"/>
        <v>0</v>
      </c>
      <c r="N579" s="46">
        <f t="shared" si="362"/>
        <v>0</v>
      </c>
      <c r="O579" s="46">
        <f t="shared" si="357"/>
        <v>0</v>
      </c>
      <c r="P579" s="46">
        <f t="shared" si="358"/>
        <v>0</v>
      </c>
      <c r="Q579" s="46">
        <f t="shared" si="363"/>
        <v>0</v>
      </c>
      <c r="R579" s="46">
        <f t="shared" si="363"/>
        <v>0</v>
      </c>
      <c r="S579" s="46">
        <f t="shared" si="363"/>
        <v>0</v>
      </c>
      <c r="T579" s="46">
        <f t="shared" si="360"/>
        <v>0</v>
      </c>
      <c r="U579" s="46">
        <f t="shared" si="361"/>
        <v>0</v>
      </c>
    </row>
    <row r="580" spans="1:21" ht="18.75" hidden="1" x14ac:dyDescent="0.25">
      <c r="A580" s="128"/>
      <c r="B580" s="199"/>
      <c r="C580" s="159"/>
      <c r="D580" s="41" t="s">
        <v>22</v>
      </c>
      <c r="E580" s="159"/>
      <c r="F580" s="199"/>
      <c r="G580" s="42"/>
      <c r="H580" s="134" t="s">
        <v>14</v>
      </c>
      <c r="I580" s="135"/>
      <c r="J580" s="135"/>
      <c r="K580" s="136"/>
      <c r="L580" s="519">
        <f t="shared" ref="L580:N580" si="364">L581+L582</f>
        <v>0</v>
      </c>
      <c r="M580" s="46">
        <f t="shared" si="364"/>
        <v>0</v>
      </c>
      <c r="N580" s="46">
        <f t="shared" si="364"/>
        <v>0</v>
      </c>
      <c r="O580" s="46">
        <f t="shared" si="357"/>
        <v>0</v>
      </c>
      <c r="P580" s="46">
        <f t="shared" si="358"/>
        <v>0</v>
      </c>
      <c r="Q580" s="46">
        <f t="shared" ref="Q580:S580" si="365">Q581+Q582</f>
        <v>0</v>
      </c>
      <c r="R580" s="46">
        <f t="shared" si="365"/>
        <v>0</v>
      </c>
      <c r="S580" s="46">
        <f t="shared" si="365"/>
        <v>0</v>
      </c>
      <c r="T580" s="46">
        <f t="shared" si="360"/>
        <v>0</v>
      </c>
      <c r="U580" s="46">
        <f t="shared" si="361"/>
        <v>0</v>
      </c>
    </row>
    <row r="581" spans="1:21" ht="18.75" hidden="1" x14ac:dyDescent="0.25">
      <c r="A581" s="128"/>
      <c r="B581" s="199"/>
      <c r="C581" s="199"/>
      <c r="D581" s="199"/>
      <c r="E581" s="157" t="s">
        <v>36</v>
      </c>
      <c r="F581" s="199"/>
      <c r="G581" s="42"/>
      <c r="H581" s="160" t="s">
        <v>14</v>
      </c>
      <c r="I581" s="135"/>
      <c r="J581" s="135"/>
      <c r="K581" s="136"/>
      <c r="L581" s="521">
        <v>0</v>
      </c>
      <c r="M581" s="48">
        <v>0</v>
      </c>
      <c r="N581" s="48">
        <v>0</v>
      </c>
      <c r="O581" s="48">
        <f t="shared" si="357"/>
        <v>0</v>
      </c>
      <c r="P581" s="48">
        <f t="shared" si="358"/>
        <v>0</v>
      </c>
      <c r="Q581" s="48">
        <v>0</v>
      </c>
      <c r="R581" s="48">
        <v>0</v>
      </c>
      <c r="S581" s="48">
        <v>0</v>
      </c>
      <c r="T581" s="48">
        <f t="shared" si="360"/>
        <v>0</v>
      </c>
      <c r="U581" s="48">
        <f t="shared" si="361"/>
        <v>0</v>
      </c>
    </row>
    <row r="582" spans="1:21" ht="18.75" hidden="1" x14ac:dyDescent="0.25">
      <c r="A582" s="128"/>
      <c r="B582" s="199"/>
      <c r="C582" s="199"/>
      <c r="D582" s="199"/>
      <c r="E582" s="270" t="s">
        <v>37</v>
      </c>
      <c r="F582" s="199"/>
      <c r="G582" s="42"/>
      <c r="H582" s="134" t="s">
        <v>14</v>
      </c>
      <c r="I582" s="135"/>
      <c r="J582" s="135"/>
      <c r="K582" s="136"/>
      <c r="L582" s="519">
        <v>0</v>
      </c>
      <c r="M582" s="46">
        <v>0</v>
      </c>
      <c r="N582" s="46">
        <v>0</v>
      </c>
      <c r="O582" s="46">
        <f t="shared" si="357"/>
        <v>0</v>
      </c>
      <c r="P582" s="46">
        <f t="shared" si="358"/>
        <v>0</v>
      </c>
      <c r="Q582" s="46">
        <v>0</v>
      </c>
      <c r="R582" s="46">
        <v>0</v>
      </c>
      <c r="S582" s="46">
        <v>0</v>
      </c>
      <c r="T582" s="46">
        <f t="shared" si="360"/>
        <v>0</v>
      </c>
      <c r="U582" s="46">
        <f t="shared" si="361"/>
        <v>0</v>
      </c>
    </row>
    <row r="583" spans="1:21" ht="18.75" hidden="1" x14ac:dyDescent="0.25">
      <c r="A583" s="128"/>
      <c r="B583" s="199"/>
      <c r="C583" s="199"/>
      <c r="D583" s="41" t="s">
        <v>23</v>
      </c>
      <c r="E583" s="199"/>
      <c r="F583" s="199"/>
      <c r="G583" s="42"/>
      <c r="H583" s="137" t="s">
        <v>14</v>
      </c>
      <c r="I583" s="135"/>
      <c r="J583" s="135"/>
      <c r="K583" s="136"/>
      <c r="L583" s="519">
        <f t="shared" ref="L583:N583" si="366">L584+L585</f>
        <v>0</v>
      </c>
      <c r="M583" s="46">
        <f t="shared" si="366"/>
        <v>0</v>
      </c>
      <c r="N583" s="46">
        <f t="shared" si="366"/>
        <v>0</v>
      </c>
      <c r="O583" s="46">
        <f t="shared" si="357"/>
        <v>0</v>
      </c>
      <c r="P583" s="46">
        <f t="shared" si="358"/>
        <v>0</v>
      </c>
      <c r="Q583" s="46">
        <f t="shared" ref="Q583:S583" si="367">Q584+Q585</f>
        <v>0</v>
      </c>
      <c r="R583" s="46">
        <f t="shared" si="367"/>
        <v>0</v>
      </c>
      <c r="S583" s="46">
        <f t="shared" si="367"/>
        <v>0</v>
      </c>
      <c r="T583" s="46">
        <f t="shared" si="360"/>
        <v>0</v>
      </c>
      <c r="U583" s="46">
        <f t="shared" si="361"/>
        <v>0</v>
      </c>
    </row>
    <row r="584" spans="1:21" ht="18.75" hidden="1" x14ac:dyDescent="0.25">
      <c r="A584" s="128"/>
      <c r="B584" s="199"/>
      <c r="C584" s="199"/>
      <c r="D584" s="199"/>
      <c r="E584" s="157" t="s">
        <v>20</v>
      </c>
      <c r="F584" s="199"/>
      <c r="G584" s="42"/>
      <c r="H584" s="160" t="s">
        <v>14</v>
      </c>
      <c r="I584" s="135"/>
      <c r="J584" s="135"/>
      <c r="K584" s="136"/>
      <c r="L584" s="521">
        <v>0</v>
      </c>
      <c r="M584" s="48">
        <v>0</v>
      </c>
      <c r="N584" s="48">
        <v>0</v>
      </c>
      <c r="O584" s="48">
        <f t="shared" si="357"/>
        <v>0</v>
      </c>
      <c r="P584" s="48">
        <f t="shared" si="358"/>
        <v>0</v>
      </c>
      <c r="Q584" s="48">
        <v>0</v>
      </c>
      <c r="R584" s="48">
        <v>0</v>
      </c>
      <c r="S584" s="48">
        <v>0</v>
      </c>
      <c r="T584" s="48">
        <f t="shared" si="360"/>
        <v>0</v>
      </c>
      <c r="U584" s="48">
        <f t="shared" si="361"/>
        <v>0</v>
      </c>
    </row>
    <row r="585" spans="1:21" ht="18.75" hidden="1" x14ac:dyDescent="0.25">
      <c r="A585" s="128"/>
      <c r="B585" s="199"/>
      <c r="C585" s="199"/>
      <c r="D585" s="199"/>
      <c r="E585" s="270" t="s">
        <v>21</v>
      </c>
      <c r="F585" s="199"/>
      <c r="G585" s="42"/>
      <c r="H585" s="137" t="s">
        <v>14</v>
      </c>
      <c r="I585" s="135"/>
      <c r="J585" s="135"/>
      <c r="K585" s="136"/>
      <c r="L585" s="519">
        <v>0</v>
      </c>
      <c r="M585" s="46">
        <v>0</v>
      </c>
      <c r="N585" s="46">
        <v>0</v>
      </c>
      <c r="O585" s="46">
        <f t="shared" si="357"/>
        <v>0</v>
      </c>
      <c r="P585" s="46">
        <f t="shared" si="358"/>
        <v>0</v>
      </c>
      <c r="Q585" s="46">
        <v>0</v>
      </c>
      <c r="R585" s="46">
        <v>0</v>
      </c>
      <c r="S585" s="46">
        <v>0</v>
      </c>
      <c r="T585" s="46">
        <f t="shared" si="360"/>
        <v>0</v>
      </c>
      <c r="U585" s="46">
        <f t="shared" si="361"/>
        <v>0</v>
      </c>
    </row>
    <row r="586" spans="1:21" ht="19.5" hidden="1" x14ac:dyDescent="0.3">
      <c r="A586" s="138"/>
      <c r="B586" s="139"/>
      <c r="C586" s="391" t="s">
        <v>18</v>
      </c>
      <c r="D586" s="546" t="s">
        <v>38</v>
      </c>
      <c r="E586" s="141"/>
      <c r="F586" s="141"/>
      <c r="G586" s="142"/>
      <c r="H586" s="143"/>
      <c r="I586" s="135"/>
      <c r="J586" s="44"/>
      <c r="K586" s="45"/>
      <c r="L586" s="522"/>
      <c r="M586" s="45"/>
      <c r="N586" s="45"/>
      <c r="O586" s="136"/>
      <c r="P586" s="136"/>
      <c r="Q586" s="45"/>
      <c r="R586" s="45"/>
      <c r="S586" s="45"/>
      <c r="T586" s="136"/>
      <c r="U586" s="136"/>
    </row>
    <row r="587" spans="1:21" ht="12.75" hidden="1" x14ac:dyDescent="0.2">
      <c r="A587" s="249"/>
      <c r="B587" s="251"/>
      <c r="C587" s="250"/>
      <c r="D587" s="251"/>
      <c r="E587" s="250"/>
      <c r="F587" s="251"/>
      <c r="G587" s="252"/>
      <c r="H587" s="252"/>
      <c r="I587" s="254"/>
      <c r="J587" s="254"/>
      <c r="K587" s="255"/>
      <c r="L587" s="693"/>
      <c r="M587" s="255"/>
      <c r="N587" s="255"/>
      <c r="O587" s="255"/>
      <c r="P587" s="255"/>
      <c r="Q587" s="255"/>
      <c r="R587" s="255"/>
      <c r="S587" s="255"/>
      <c r="T587" s="255"/>
      <c r="U587" s="255"/>
    </row>
    <row r="588" spans="1:21" ht="12.75" hidden="1" x14ac:dyDescent="0.2">
      <c r="A588" s="249"/>
      <c r="B588" s="251"/>
      <c r="C588" s="250"/>
      <c r="D588" s="251"/>
      <c r="E588" s="250"/>
      <c r="F588" s="251"/>
      <c r="G588" s="252"/>
      <c r="H588" s="252"/>
      <c r="I588" s="254"/>
      <c r="J588" s="254"/>
      <c r="K588" s="255"/>
      <c r="L588" s="693"/>
      <c r="M588" s="255"/>
      <c r="N588" s="255"/>
      <c r="O588" s="255"/>
      <c r="P588" s="255"/>
      <c r="Q588" s="255"/>
      <c r="R588" s="255"/>
      <c r="S588" s="255"/>
      <c r="T588" s="255"/>
      <c r="U588" s="255"/>
    </row>
    <row r="589" spans="1:21" ht="12.75" hidden="1" x14ac:dyDescent="0.2">
      <c r="A589" s="249"/>
      <c r="B589" s="250"/>
      <c r="C589" s="250"/>
      <c r="D589" s="251"/>
      <c r="E589" s="251"/>
      <c r="F589" s="251"/>
      <c r="G589" s="252"/>
      <c r="H589" s="253"/>
      <c r="I589" s="254"/>
      <c r="J589" s="254"/>
      <c r="K589" s="255"/>
      <c r="L589" s="693"/>
      <c r="M589" s="255"/>
      <c r="N589" s="255"/>
      <c r="O589" s="255"/>
      <c r="P589" s="255"/>
      <c r="Q589" s="255"/>
      <c r="R589" s="255"/>
      <c r="S589" s="255"/>
      <c r="T589" s="255"/>
      <c r="U589" s="255"/>
    </row>
    <row r="590" spans="1:21" ht="12.75" hidden="1" x14ac:dyDescent="0.2">
      <c r="A590" s="249"/>
      <c r="B590" s="250"/>
      <c r="C590" s="250"/>
      <c r="D590" s="251"/>
      <c r="E590" s="251"/>
      <c r="F590" s="251"/>
      <c r="G590" s="252"/>
      <c r="H590" s="253"/>
      <c r="I590" s="254"/>
      <c r="J590" s="254"/>
      <c r="K590" s="255"/>
      <c r="L590" s="693"/>
      <c r="M590" s="255"/>
      <c r="N590" s="255"/>
      <c r="O590" s="255"/>
      <c r="P590" s="255"/>
      <c r="Q590" s="255"/>
      <c r="R590" s="255"/>
      <c r="S590" s="255"/>
      <c r="T590" s="255"/>
      <c r="U590" s="255"/>
    </row>
    <row r="591" spans="1:21" ht="12.75" hidden="1" x14ac:dyDescent="0.2">
      <c r="A591" s="249"/>
      <c r="B591" s="250"/>
      <c r="C591" s="250"/>
      <c r="D591" s="251"/>
      <c r="E591" s="251"/>
      <c r="F591" s="251"/>
      <c r="G591" s="252"/>
      <c r="H591" s="253"/>
      <c r="I591" s="254"/>
      <c r="J591" s="254"/>
      <c r="K591" s="255"/>
      <c r="L591" s="693"/>
      <c r="M591" s="255"/>
      <c r="N591" s="255"/>
      <c r="O591" s="255"/>
      <c r="P591" s="255"/>
      <c r="Q591" s="255"/>
      <c r="R591" s="255"/>
      <c r="S591" s="255"/>
      <c r="T591" s="255"/>
      <c r="U591" s="255"/>
    </row>
    <row r="592" spans="1:21" ht="12.75" hidden="1" x14ac:dyDescent="0.2">
      <c r="A592" s="249"/>
      <c r="B592" s="250"/>
      <c r="C592" s="250"/>
      <c r="D592" s="251"/>
      <c r="E592" s="251"/>
      <c r="F592" s="251"/>
      <c r="G592" s="252"/>
      <c r="H592" s="253"/>
      <c r="I592" s="254"/>
      <c r="J592" s="254"/>
      <c r="K592" s="255"/>
      <c r="L592" s="693"/>
      <c r="M592" s="255"/>
      <c r="N592" s="255"/>
      <c r="O592" s="255"/>
      <c r="P592" s="255"/>
      <c r="Q592" s="255"/>
      <c r="R592" s="255"/>
      <c r="S592" s="255"/>
      <c r="T592" s="255"/>
      <c r="U592" s="255"/>
    </row>
    <row r="593" spans="1:21" ht="12.75" hidden="1" x14ac:dyDescent="0.2">
      <c r="A593" s="249"/>
      <c r="B593" s="250"/>
      <c r="C593" s="250"/>
      <c r="D593" s="251"/>
      <c r="E593" s="251"/>
      <c r="F593" s="251"/>
      <c r="G593" s="252"/>
      <c r="H593" s="253"/>
      <c r="I593" s="254"/>
      <c r="J593" s="254"/>
      <c r="K593" s="255"/>
      <c r="L593" s="693"/>
      <c r="M593" s="255"/>
      <c r="N593" s="255"/>
      <c r="O593" s="255"/>
      <c r="P593" s="255"/>
      <c r="Q593" s="255"/>
      <c r="R593" s="255"/>
      <c r="S593" s="255"/>
      <c r="T593" s="255"/>
      <c r="U593" s="255"/>
    </row>
    <row r="594" spans="1:21" ht="12.75" hidden="1" x14ac:dyDescent="0.2">
      <c r="A594" s="249"/>
      <c r="B594" s="250"/>
      <c r="C594" s="250"/>
      <c r="D594" s="251"/>
      <c r="E594" s="251"/>
      <c r="F594" s="251"/>
      <c r="G594" s="252"/>
      <c r="H594" s="253"/>
      <c r="I594" s="254"/>
      <c r="J594" s="254"/>
      <c r="K594" s="255"/>
      <c r="L594" s="693"/>
      <c r="M594" s="255"/>
      <c r="N594" s="255"/>
      <c r="O594" s="255"/>
      <c r="P594" s="255"/>
      <c r="Q594" s="255"/>
      <c r="R594" s="255"/>
      <c r="S594" s="255"/>
      <c r="T594" s="255"/>
      <c r="U594" s="255"/>
    </row>
    <row r="595" spans="1:21" ht="12.75" hidden="1" x14ac:dyDescent="0.2">
      <c r="A595" s="249"/>
      <c r="B595" s="250"/>
      <c r="C595" s="250"/>
      <c r="D595" s="251"/>
      <c r="E595" s="251"/>
      <c r="F595" s="251"/>
      <c r="G595" s="252"/>
      <c r="H595" s="253"/>
      <c r="I595" s="254"/>
      <c r="J595" s="254"/>
      <c r="K595" s="255"/>
      <c r="L595" s="693"/>
      <c r="M595" s="255"/>
      <c r="N595" s="255"/>
      <c r="O595" s="255"/>
      <c r="P595" s="255"/>
      <c r="Q595" s="255"/>
      <c r="R595" s="255"/>
      <c r="S595" s="255"/>
      <c r="T595" s="255"/>
      <c r="U595" s="255"/>
    </row>
    <row r="596" spans="1:21" ht="12.75" hidden="1" x14ac:dyDescent="0.2">
      <c r="A596" s="386"/>
      <c r="B596" s="341"/>
      <c r="C596" s="341"/>
      <c r="D596" s="387"/>
      <c r="E596" s="387"/>
      <c r="F596" s="387"/>
      <c r="G596" s="388"/>
      <c r="H596" s="342"/>
      <c r="I596" s="343"/>
      <c r="J596" s="343"/>
      <c r="K596" s="344"/>
      <c r="L596" s="694"/>
      <c r="M596" s="344"/>
      <c r="N596" s="344"/>
      <c r="O596" s="344"/>
      <c r="P596" s="344"/>
      <c r="Q596" s="344"/>
      <c r="R596" s="344"/>
      <c r="S596" s="344"/>
      <c r="T596" s="344"/>
      <c r="U596" s="344"/>
    </row>
    <row r="597" spans="1:21" ht="19.5" hidden="1" x14ac:dyDescent="0.3">
      <c r="A597" s="392" t="s">
        <v>213</v>
      </c>
      <c r="B597" s="118"/>
      <c r="C597" s="181"/>
      <c r="D597" s="118"/>
      <c r="E597" s="118"/>
      <c r="F597" s="118"/>
      <c r="G597" s="118"/>
      <c r="H597" s="119"/>
      <c r="I597" s="182"/>
      <c r="J597" s="182"/>
      <c r="K597" s="18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93" t="s">
        <v>214</v>
      </c>
      <c r="C598" s="185"/>
      <c r="D598" s="125"/>
      <c r="E598" s="27"/>
      <c r="F598" s="27"/>
      <c r="G598" s="27"/>
      <c r="H598" s="394" t="s">
        <v>99</v>
      </c>
      <c r="I598" s="195"/>
      <c r="J598" s="32"/>
      <c r="K598" s="33"/>
      <c r="L598" s="543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395"/>
      <c r="B599" s="396" t="s">
        <v>215</v>
      </c>
      <c r="C599" s="125"/>
      <c r="D599" s="27"/>
      <c r="E599" s="27"/>
      <c r="F599" s="27"/>
      <c r="G599" s="30"/>
      <c r="H599" s="397" t="s">
        <v>35</v>
      </c>
      <c r="I599" s="32"/>
      <c r="J599" s="32"/>
      <c r="K599" s="33"/>
      <c r="L599" s="543"/>
      <c r="M599" s="33"/>
      <c r="N599" s="33"/>
      <c r="O599" s="33"/>
      <c r="P599" s="33"/>
      <c r="Q599" s="33"/>
      <c r="R599" s="33"/>
      <c r="S599" s="33"/>
      <c r="T599" s="33"/>
      <c r="U599" s="33"/>
    </row>
    <row r="600" spans="1:21" ht="19.5" hidden="1" x14ac:dyDescent="0.3">
      <c r="A600" s="128"/>
      <c r="B600" s="159"/>
      <c r="C600" s="190" t="s">
        <v>18</v>
      </c>
      <c r="D600" s="742" t="s">
        <v>19</v>
      </c>
      <c r="E600" s="490"/>
      <c r="F600" s="490"/>
      <c r="G600" s="491"/>
      <c r="H600" s="398" t="s">
        <v>14</v>
      </c>
      <c r="I600" s="44"/>
      <c r="J600" s="44"/>
      <c r="K600" s="45"/>
      <c r="L600" s="545">
        <f t="shared" ref="L600:N600" si="368">L601+L602</f>
        <v>0</v>
      </c>
      <c r="M600" s="132">
        <f t="shared" si="368"/>
        <v>0</v>
      </c>
      <c r="N600" s="132">
        <f t="shared" si="368"/>
        <v>0</v>
      </c>
      <c r="O600" s="132">
        <f t="shared" ref="O600:O608" si="369">IF(L600&gt;0,N600*100/L600,0)</f>
        <v>0</v>
      </c>
      <c r="P600" s="132">
        <f t="shared" ref="P600:P608" si="370">IF(M600&gt;0,N600*100/M600,0)</f>
        <v>0</v>
      </c>
      <c r="Q600" s="132">
        <f t="shared" ref="Q600:S600" si="371">Q601+Q602</f>
        <v>0</v>
      </c>
      <c r="R600" s="132">
        <f t="shared" si="371"/>
        <v>0</v>
      </c>
      <c r="S600" s="132">
        <f t="shared" si="371"/>
        <v>0</v>
      </c>
      <c r="T600" s="132">
        <f t="shared" ref="T600:T608" si="372">IF(Q600&gt;0,S600*100/Q600,0)</f>
        <v>0</v>
      </c>
      <c r="U600" s="132">
        <f t="shared" ref="U600:U608" si="373">IF(R600&gt;0,S600*100/R600,0)</f>
        <v>0</v>
      </c>
    </row>
    <row r="601" spans="1:21" ht="18.75" hidden="1" x14ac:dyDescent="0.25">
      <c r="A601" s="128"/>
      <c r="B601" s="159"/>
      <c r="C601" s="159"/>
      <c r="D601" s="169"/>
      <c r="E601" s="157" t="s">
        <v>158</v>
      </c>
      <c r="F601" s="199"/>
      <c r="G601" s="42"/>
      <c r="H601" s="160" t="s">
        <v>14</v>
      </c>
      <c r="I601" s="44"/>
      <c r="J601" s="44"/>
      <c r="K601" s="45"/>
      <c r="L601" s="521">
        <f t="shared" ref="L601:N602" si="374">L604+L607</f>
        <v>0</v>
      </c>
      <c r="M601" s="48">
        <f t="shared" si="374"/>
        <v>0</v>
      </c>
      <c r="N601" s="48">
        <f t="shared" si="374"/>
        <v>0</v>
      </c>
      <c r="O601" s="48">
        <f t="shared" si="369"/>
        <v>0</v>
      </c>
      <c r="P601" s="48">
        <f t="shared" si="370"/>
        <v>0</v>
      </c>
      <c r="Q601" s="48">
        <f t="shared" ref="Q601:S602" si="375">Q604+Q607</f>
        <v>0</v>
      </c>
      <c r="R601" s="48">
        <f t="shared" si="375"/>
        <v>0</v>
      </c>
      <c r="S601" s="48">
        <f t="shared" si="375"/>
        <v>0</v>
      </c>
      <c r="T601" s="48">
        <f t="shared" si="372"/>
        <v>0</v>
      </c>
      <c r="U601" s="48">
        <f t="shared" si="373"/>
        <v>0</v>
      </c>
    </row>
    <row r="602" spans="1:21" ht="18.75" hidden="1" x14ac:dyDescent="0.25">
      <c r="A602" s="128"/>
      <c r="B602" s="159"/>
      <c r="C602" s="159"/>
      <c r="D602" s="169"/>
      <c r="E602" s="157" t="s">
        <v>159</v>
      </c>
      <c r="F602" s="199"/>
      <c r="G602" s="42"/>
      <c r="H602" s="160" t="s">
        <v>14</v>
      </c>
      <c r="I602" s="44"/>
      <c r="J602" s="44"/>
      <c r="K602" s="45"/>
      <c r="L602" s="519">
        <f t="shared" si="374"/>
        <v>0</v>
      </c>
      <c r="M602" s="46">
        <f t="shared" si="374"/>
        <v>0</v>
      </c>
      <c r="N602" s="46">
        <f t="shared" si="374"/>
        <v>0</v>
      </c>
      <c r="O602" s="46">
        <f t="shared" si="369"/>
        <v>0</v>
      </c>
      <c r="P602" s="46">
        <f t="shared" si="370"/>
        <v>0</v>
      </c>
      <c r="Q602" s="46">
        <f t="shared" si="375"/>
        <v>0</v>
      </c>
      <c r="R602" s="46">
        <f t="shared" si="375"/>
        <v>0</v>
      </c>
      <c r="S602" s="46">
        <f t="shared" si="375"/>
        <v>0</v>
      </c>
      <c r="T602" s="46">
        <f t="shared" si="372"/>
        <v>0</v>
      </c>
      <c r="U602" s="46">
        <f t="shared" si="373"/>
        <v>0</v>
      </c>
    </row>
    <row r="603" spans="1:21" ht="19.5" hidden="1" x14ac:dyDescent="0.3">
      <c r="A603" s="128"/>
      <c r="B603" s="159"/>
      <c r="C603" s="159"/>
      <c r="D603" s="578" t="s">
        <v>22</v>
      </c>
      <c r="E603" s="199"/>
      <c r="F603" s="199"/>
      <c r="G603" s="42"/>
      <c r="H603" s="398" t="s">
        <v>14</v>
      </c>
      <c r="I603" s="135"/>
      <c r="J603" s="135"/>
      <c r="K603" s="136"/>
      <c r="L603" s="519">
        <f t="shared" ref="L603:N603" si="376">L604+L605</f>
        <v>0</v>
      </c>
      <c r="M603" s="46">
        <f t="shared" si="376"/>
        <v>0</v>
      </c>
      <c r="N603" s="46">
        <f t="shared" si="376"/>
        <v>0</v>
      </c>
      <c r="O603" s="46">
        <f t="shared" si="369"/>
        <v>0</v>
      </c>
      <c r="P603" s="46">
        <f t="shared" si="370"/>
        <v>0</v>
      </c>
      <c r="Q603" s="46">
        <f t="shared" ref="Q603:S603" si="377">Q604+Q605</f>
        <v>0</v>
      </c>
      <c r="R603" s="46">
        <f t="shared" si="377"/>
        <v>0</v>
      </c>
      <c r="S603" s="46">
        <f t="shared" si="377"/>
        <v>0</v>
      </c>
      <c r="T603" s="46">
        <f t="shared" si="372"/>
        <v>0</v>
      </c>
      <c r="U603" s="46">
        <f t="shared" si="373"/>
        <v>0</v>
      </c>
    </row>
    <row r="604" spans="1:21" ht="18.75" hidden="1" x14ac:dyDescent="0.25">
      <c r="A604" s="128"/>
      <c r="B604" s="159"/>
      <c r="C604" s="159"/>
      <c r="D604" s="169"/>
      <c r="E604" s="157" t="s">
        <v>158</v>
      </c>
      <c r="F604" s="199"/>
      <c r="G604" s="42"/>
      <c r="H604" s="160" t="s">
        <v>14</v>
      </c>
      <c r="I604" s="44"/>
      <c r="J604" s="44"/>
      <c r="K604" s="45"/>
      <c r="L604" s="521">
        <v>0</v>
      </c>
      <c r="M604" s="48">
        <v>0</v>
      </c>
      <c r="N604" s="48">
        <v>0</v>
      </c>
      <c r="O604" s="48">
        <f t="shared" si="369"/>
        <v>0</v>
      </c>
      <c r="P604" s="48">
        <f t="shared" si="370"/>
        <v>0</v>
      </c>
      <c r="Q604" s="48">
        <v>0</v>
      </c>
      <c r="R604" s="48">
        <v>0</v>
      </c>
      <c r="S604" s="48">
        <v>0</v>
      </c>
      <c r="T604" s="48">
        <f t="shared" si="372"/>
        <v>0</v>
      </c>
      <c r="U604" s="48">
        <f t="shared" si="373"/>
        <v>0</v>
      </c>
    </row>
    <row r="605" spans="1:21" ht="18.75" hidden="1" x14ac:dyDescent="0.25">
      <c r="A605" s="128"/>
      <c r="B605" s="159"/>
      <c r="C605" s="159"/>
      <c r="D605" s="169"/>
      <c r="E605" s="157" t="s">
        <v>159</v>
      </c>
      <c r="F605" s="199"/>
      <c r="G605" s="42"/>
      <c r="H605" s="160" t="s">
        <v>14</v>
      </c>
      <c r="I605" s="44"/>
      <c r="J605" s="44"/>
      <c r="K605" s="45"/>
      <c r="L605" s="519">
        <v>0</v>
      </c>
      <c r="M605" s="46">
        <v>0</v>
      </c>
      <c r="N605" s="46">
        <v>0</v>
      </c>
      <c r="O605" s="46">
        <f t="shared" si="369"/>
        <v>0</v>
      </c>
      <c r="P605" s="46">
        <f t="shared" si="370"/>
        <v>0</v>
      </c>
      <c r="Q605" s="46">
        <v>0</v>
      </c>
      <c r="R605" s="46">
        <v>0</v>
      </c>
      <c r="S605" s="46">
        <v>0</v>
      </c>
      <c r="T605" s="46">
        <f t="shared" si="372"/>
        <v>0</v>
      </c>
      <c r="U605" s="46">
        <f t="shared" si="373"/>
        <v>0</v>
      </c>
    </row>
    <row r="606" spans="1:21" ht="19.5" hidden="1" x14ac:dyDescent="0.3">
      <c r="A606" s="128"/>
      <c r="B606" s="159"/>
      <c r="C606" s="159"/>
      <c r="D606" s="578" t="s">
        <v>23</v>
      </c>
      <c r="E606" s="159"/>
      <c r="F606" s="199"/>
      <c r="G606" s="42"/>
      <c r="H606" s="400" t="s">
        <v>14</v>
      </c>
      <c r="I606" s="135"/>
      <c r="J606" s="135"/>
      <c r="K606" s="136"/>
      <c r="L606" s="519">
        <f t="shared" ref="L606:N606" si="378">L607+L608</f>
        <v>0</v>
      </c>
      <c r="M606" s="46">
        <f t="shared" si="378"/>
        <v>0</v>
      </c>
      <c r="N606" s="46">
        <f t="shared" si="378"/>
        <v>0</v>
      </c>
      <c r="O606" s="46">
        <f t="shared" si="369"/>
        <v>0</v>
      </c>
      <c r="P606" s="46">
        <f t="shared" si="370"/>
        <v>0</v>
      </c>
      <c r="Q606" s="46">
        <f t="shared" ref="Q606:S606" si="379">Q607+Q608</f>
        <v>0</v>
      </c>
      <c r="R606" s="46">
        <f t="shared" si="379"/>
        <v>0</v>
      </c>
      <c r="S606" s="46">
        <f t="shared" si="379"/>
        <v>0</v>
      </c>
      <c r="T606" s="46">
        <f t="shared" si="372"/>
        <v>0</v>
      </c>
      <c r="U606" s="46">
        <f t="shared" si="373"/>
        <v>0</v>
      </c>
    </row>
    <row r="607" spans="1:21" ht="18.75" hidden="1" x14ac:dyDescent="0.25">
      <c r="A607" s="128"/>
      <c r="B607" s="159"/>
      <c r="C607" s="159"/>
      <c r="D607" s="159"/>
      <c r="E607" s="455" t="s">
        <v>20</v>
      </c>
      <c r="F607" s="199"/>
      <c r="G607" s="42"/>
      <c r="H607" s="160" t="s">
        <v>14</v>
      </c>
      <c r="I607" s="135"/>
      <c r="J607" s="135"/>
      <c r="K607" s="136"/>
      <c r="L607" s="521">
        <v>0</v>
      </c>
      <c r="M607" s="48">
        <v>0</v>
      </c>
      <c r="N607" s="48">
        <v>0</v>
      </c>
      <c r="O607" s="48">
        <f t="shared" si="369"/>
        <v>0</v>
      </c>
      <c r="P607" s="48">
        <f t="shared" si="370"/>
        <v>0</v>
      </c>
      <c r="Q607" s="48">
        <v>0</v>
      </c>
      <c r="R607" s="48">
        <v>0</v>
      </c>
      <c r="S607" s="48">
        <v>0</v>
      </c>
      <c r="T607" s="48">
        <f t="shared" si="372"/>
        <v>0</v>
      </c>
      <c r="U607" s="48">
        <f t="shared" si="373"/>
        <v>0</v>
      </c>
    </row>
    <row r="608" spans="1:21" ht="18.75" hidden="1" x14ac:dyDescent="0.25">
      <c r="A608" s="128"/>
      <c r="B608" s="159"/>
      <c r="C608" s="159"/>
      <c r="D608" s="199"/>
      <c r="E608" s="455" t="s">
        <v>21</v>
      </c>
      <c r="F608" s="199"/>
      <c r="G608" s="42"/>
      <c r="H608" s="401" t="s">
        <v>14</v>
      </c>
      <c r="I608" s="135"/>
      <c r="J608" s="135"/>
      <c r="K608" s="136"/>
      <c r="L608" s="519">
        <v>0</v>
      </c>
      <c r="M608" s="46">
        <v>0</v>
      </c>
      <c r="N608" s="46">
        <v>0</v>
      </c>
      <c r="O608" s="46">
        <f t="shared" si="369"/>
        <v>0</v>
      </c>
      <c r="P608" s="46">
        <f t="shared" si="370"/>
        <v>0</v>
      </c>
      <c r="Q608" s="46">
        <v>0</v>
      </c>
      <c r="R608" s="46">
        <v>0</v>
      </c>
      <c r="S608" s="46">
        <v>0</v>
      </c>
      <c r="T608" s="46">
        <f t="shared" si="372"/>
        <v>0</v>
      </c>
      <c r="U608" s="46">
        <f t="shared" si="373"/>
        <v>0</v>
      </c>
    </row>
    <row r="609" spans="1:21" ht="19.5" hidden="1" x14ac:dyDescent="0.3">
      <c r="A609" s="138"/>
      <c r="B609" s="139"/>
      <c r="C609" s="190" t="s">
        <v>18</v>
      </c>
      <c r="D609" s="591" t="s">
        <v>38</v>
      </c>
      <c r="E609" s="141"/>
      <c r="F609" s="141"/>
      <c r="G609" s="142"/>
      <c r="H609" s="191"/>
      <c r="I609" s="135"/>
      <c r="J609" s="135"/>
      <c r="K609" s="136"/>
      <c r="L609" s="522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8.75" hidden="1" x14ac:dyDescent="0.25">
      <c r="A610" s="138"/>
      <c r="B610" s="139"/>
      <c r="C610" s="139"/>
      <c r="D610" s="403" t="s">
        <v>216</v>
      </c>
      <c r="E610" s="169"/>
      <c r="F610" s="169"/>
      <c r="G610" s="143"/>
      <c r="H610" s="160" t="s">
        <v>99</v>
      </c>
      <c r="I610" s="44"/>
      <c r="J610" s="44"/>
      <c r="K610" s="136"/>
      <c r="L610" s="522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9.5" hidden="1" x14ac:dyDescent="0.3">
      <c r="A611" s="138"/>
      <c r="B611" s="139"/>
      <c r="C611" s="139"/>
      <c r="D611" s="403" t="s">
        <v>217</v>
      </c>
      <c r="E611" s="169"/>
      <c r="F611" s="169"/>
      <c r="G611" s="143"/>
      <c r="H611" s="398" t="s">
        <v>35</v>
      </c>
      <c r="I611" s="44"/>
      <c r="J611" s="44"/>
      <c r="K611" s="136"/>
      <c r="L611" s="522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8.75" hidden="1" x14ac:dyDescent="0.25">
      <c r="A612" s="138"/>
      <c r="B612" s="139"/>
      <c r="C612" s="139"/>
      <c r="D612" s="139"/>
      <c r="E612" s="403" t="s">
        <v>218</v>
      </c>
      <c r="F612" s="169"/>
      <c r="G612" s="143"/>
      <c r="H612" s="401" t="s">
        <v>35</v>
      </c>
      <c r="I612" s="44"/>
      <c r="J612" s="44"/>
      <c r="K612" s="136"/>
      <c r="L612" s="522"/>
      <c r="M612" s="45"/>
      <c r="N612" s="45"/>
      <c r="O612" s="45"/>
      <c r="P612" s="45"/>
      <c r="Q612" s="45"/>
      <c r="R612" s="45"/>
      <c r="S612" s="45"/>
      <c r="T612" s="45"/>
      <c r="U612" s="45"/>
    </row>
    <row r="613" spans="1:21" ht="19.5" hidden="1" thickBot="1" x14ac:dyDescent="0.3">
      <c r="A613" s="404"/>
      <c r="B613" s="405"/>
      <c r="C613" s="405"/>
      <c r="D613" s="405"/>
      <c r="E613" s="406" t="s">
        <v>219</v>
      </c>
      <c r="F613" s="407"/>
      <c r="G613" s="408"/>
      <c r="H613" s="409" t="s">
        <v>35</v>
      </c>
      <c r="I613" s="410"/>
      <c r="J613" s="410"/>
      <c r="K613" s="411"/>
      <c r="L613" s="743"/>
      <c r="M613" s="412"/>
      <c r="N613" s="412"/>
      <c r="O613" s="412"/>
      <c r="P613" s="412"/>
      <c r="Q613" s="412"/>
      <c r="R613" s="412"/>
      <c r="S613" s="412"/>
      <c r="T613" s="412"/>
      <c r="U613" s="412"/>
    </row>
    <row r="614" spans="1:21" ht="19.5" x14ac:dyDescent="0.3">
      <c r="A614" s="413" t="s">
        <v>220</v>
      </c>
      <c r="B614" s="414"/>
      <c r="C614" s="414"/>
      <c r="D614" s="415"/>
      <c r="E614" s="415"/>
      <c r="F614" s="415"/>
      <c r="G614" s="416"/>
      <c r="H614" s="417"/>
      <c r="I614" s="418"/>
      <c r="J614" s="418"/>
      <c r="K614" s="419"/>
      <c r="L614" s="744"/>
      <c r="M614" s="419"/>
      <c r="N614" s="419"/>
      <c r="O614" s="419"/>
      <c r="P614" s="419"/>
      <c r="Q614" s="419"/>
      <c r="R614" s="419"/>
      <c r="S614" s="419"/>
      <c r="T614" s="419"/>
      <c r="U614" s="419"/>
    </row>
    <row r="615" spans="1:21" ht="19.5" x14ac:dyDescent="0.3">
      <c r="A615" s="420"/>
      <c r="B615" s="421" t="s">
        <v>221</v>
      </c>
      <c r="C615" s="420"/>
      <c r="D615" s="422"/>
      <c r="E615" s="422"/>
      <c r="F615" s="422"/>
      <c r="G615" s="423"/>
      <c r="H615" s="424"/>
      <c r="I615" s="425"/>
      <c r="J615" s="425"/>
      <c r="K615" s="426"/>
      <c r="L615" s="745"/>
      <c r="M615" s="426"/>
      <c r="N615" s="426"/>
      <c r="O615" s="426"/>
      <c r="P615" s="426"/>
      <c r="Q615" s="426"/>
      <c r="R615" s="426"/>
      <c r="S615" s="426"/>
      <c r="T615" s="426"/>
      <c r="U615" s="426"/>
    </row>
    <row r="616" spans="1:21" ht="19.5" x14ac:dyDescent="0.3">
      <c r="A616" s="427"/>
      <c r="B616" s="428" t="s">
        <v>222</v>
      </c>
      <c r="C616" s="427"/>
      <c r="D616" s="429"/>
      <c r="E616" s="429"/>
      <c r="F616" s="429"/>
      <c r="G616" s="430"/>
      <c r="H616" s="431" t="s">
        <v>46</v>
      </c>
      <c r="I616" s="432">
        <f t="shared" ref="I616:J616" ca="1" si="380">I627</f>
        <v>50</v>
      </c>
      <c r="J616" s="432">
        <f t="shared" si="380"/>
        <v>0</v>
      </c>
      <c r="K616" s="433">
        <f ca="1">IF(I616&gt;0,J616*100/I616,0)</f>
        <v>0</v>
      </c>
      <c r="L616" s="746"/>
      <c r="M616" s="434"/>
      <c r="N616" s="434"/>
      <c r="O616" s="434"/>
      <c r="P616" s="434"/>
      <c r="Q616" s="434"/>
      <c r="R616" s="434"/>
      <c r="S616" s="434"/>
      <c r="T616" s="434"/>
      <c r="U616" s="434"/>
    </row>
    <row r="617" spans="1:21" ht="19.5" x14ac:dyDescent="0.3">
      <c r="A617" s="128"/>
      <c r="B617" s="159"/>
      <c r="C617" s="190" t="s">
        <v>18</v>
      </c>
      <c r="D617" s="747" t="s">
        <v>19</v>
      </c>
      <c r="E617" s="490"/>
      <c r="F617" s="490"/>
      <c r="G617" s="491"/>
      <c r="H617" s="239" t="s">
        <v>14</v>
      </c>
      <c r="I617" s="44"/>
      <c r="J617" s="44"/>
      <c r="K617" s="45"/>
      <c r="L617" s="545">
        <f t="shared" ref="L617:N617" si="381">L618+L619</f>
        <v>0</v>
      </c>
      <c r="M617" s="132">
        <f t="shared" si="381"/>
        <v>0</v>
      </c>
      <c r="N617" s="132">
        <f t="shared" si="381"/>
        <v>0</v>
      </c>
      <c r="O617" s="132">
        <f t="shared" ref="O617:O625" si="382">IF(L617&gt;0,N617*100/L617,0)</f>
        <v>0</v>
      </c>
      <c r="P617" s="132">
        <f t="shared" ref="P617:P625" si="383">IF(M617&gt;0,N617*100/M617,0)</f>
        <v>0</v>
      </c>
      <c r="Q617" s="132">
        <f t="shared" ref="Q617:S617" ca="1" si="384">Q618+Q619</f>
        <v>6775</v>
      </c>
      <c r="R617" s="132">
        <f t="shared" ca="1" si="384"/>
        <v>6775</v>
      </c>
      <c r="S617" s="132">
        <f t="shared" ca="1" si="384"/>
        <v>0</v>
      </c>
      <c r="T617" s="132">
        <f t="shared" ref="T617:T625" ca="1" si="385">IF(Q617&gt;0,S617*100/Q617,0)</f>
        <v>0</v>
      </c>
      <c r="U617" s="132">
        <f t="shared" ref="U617:U625" ca="1" si="386">IF(R617&gt;0,S617*100/R617,0)</f>
        <v>0</v>
      </c>
    </row>
    <row r="618" spans="1:21" ht="18.75" hidden="1" x14ac:dyDescent="0.25">
      <c r="A618" s="128"/>
      <c r="B618" s="159"/>
      <c r="C618" s="159"/>
      <c r="D618" s="169"/>
      <c r="E618" s="157" t="s">
        <v>158</v>
      </c>
      <c r="F618" s="199"/>
      <c r="G618" s="42"/>
      <c r="H618" s="160" t="s">
        <v>14</v>
      </c>
      <c r="I618" s="44"/>
      <c r="J618" s="44"/>
      <c r="K618" s="45"/>
      <c r="L618" s="521">
        <f t="shared" ref="L618:N619" si="387">L621+L624</f>
        <v>0</v>
      </c>
      <c r="M618" s="48">
        <f t="shared" si="387"/>
        <v>0</v>
      </c>
      <c r="N618" s="48">
        <f t="shared" si="387"/>
        <v>0</v>
      </c>
      <c r="O618" s="48">
        <f t="shared" si="382"/>
        <v>0</v>
      </c>
      <c r="P618" s="48">
        <f t="shared" si="383"/>
        <v>0</v>
      </c>
      <c r="Q618" s="48">
        <f t="shared" ref="Q618:S619" si="388">Q621+Q624</f>
        <v>0</v>
      </c>
      <c r="R618" s="48">
        <f t="shared" si="388"/>
        <v>0</v>
      </c>
      <c r="S618" s="48">
        <f t="shared" si="388"/>
        <v>0</v>
      </c>
      <c r="T618" s="48">
        <f t="shared" si="385"/>
        <v>0</v>
      </c>
      <c r="U618" s="48">
        <f t="shared" si="386"/>
        <v>0</v>
      </c>
    </row>
    <row r="619" spans="1:21" ht="18.75" hidden="1" x14ac:dyDescent="0.25">
      <c r="A619" s="128"/>
      <c r="B619" s="159"/>
      <c r="C619" s="159"/>
      <c r="D619" s="169"/>
      <c r="E619" s="270" t="s">
        <v>159</v>
      </c>
      <c r="F619" s="199"/>
      <c r="G619" s="42"/>
      <c r="H619" s="134" t="s">
        <v>14</v>
      </c>
      <c r="I619" s="44"/>
      <c r="J619" s="44"/>
      <c r="K619" s="45"/>
      <c r="L619" s="519">
        <f t="shared" si="387"/>
        <v>0</v>
      </c>
      <c r="M619" s="46">
        <f t="shared" si="387"/>
        <v>0</v>
      </c>
      <c r="N619" s="46">
        <f t="shared" si="387"/>
        <v>0</v>
      </c>
      <c r="O619" s="46">
        <f t="shared" si="382"/>
        <v>0</v>
      </c>
      <c r="P619" s="46">
        <f t="shared" si="383"/>
        <v>0</v>
      </c>
      <c r="Q619" s="46">
        <f t="shared" ca="1" si="388"/>
        <v>6775</v>
      </c>
      <c r="R619" s="46">
        <f t="shared" ca="1" si="388"/>
        <v>6775</v>
      </c>
      <c r="S619" s="46">
        <f t="shared" ca="1" si="388"/>
        <v>0</v>
      </c>
      <c r="T619" s="46">
        <f t="shared" ca="1" si="385"/>
        <v>0</v>
      </c>
      <c r="U619" s="46">
        <f t="shared" ca="1" si="386"/>
        <v>0</v>
      </c>
    </row>
    <row r="620" spans="1:21" ht="18.75" x14ac:dyDescent="0.25">
      <c r="A620" s="128"/>
      <c r="B620" s="159"/>
      <c r="C620" s="159"/>
      <c r="D620" s="41" t="s">
        <v>22</v>
      </c>
      <c r="E620" s="199"/>
      <c r="F620" s="199"/>
      <c r="G620" s="42"/>
      <c r="H620" s="134" t="s">
        <v>14</v>
      </c>
      <c r="I620" s="135"/>
      <c r="J620" s="135"/>
      <c r="K620" s="136"/>
      <c r="L620" s="519">
        <f t="shared" ref="L620:N620" si="389">L621+L622</f>
        <v>0</v>
      </c>
      <c r="M620" s="46">
        <f t="shared" si="389"/>
        <v>0</v>
      </c>
      <c r="N620" s="46">
        <f t="shared" si="389"/>
        <v>0</v>
      </c>
      <c r="O620" s="46">
        <f t="shared" si="382"/>
        <v>0</v>
      </c>
      <c r="P620" s="46">
        <f t="shared" si="383"/>
        <v>0</v>
      </c>
      <c r="Q620" s="46">
        <f t="shared" ref="Q620:S620" ca="1" si="390">Q621+Q622</f>
        <v>6775</v>
      </c>
      <c r="R620" s="46">
        <f t="shared" ca="1" si="390"/>
        <v>6775</v>
      </c>
      <c r="S620" s="46">
        <f t="shared" ca="1" si="390"/>
        <v>0</v>
      </c>
      <c r="T620" s="46">
        <f t="shared" ca="1" si="385"/>
        <v>0</v>
      </c>
      <c r="U620" s="46">
        <f t="shared" ca="1" si="386"/>
        <v>0</v>
      </c>
    </row>
    <row r="621" spans="1:21" ht="18.75" hidden="1" x14ac:dyDescent="0.25">
      <c r="A621" s="128"/>
      <c r="B621" s="159"/>
      <c r="C621" s="159"/>
      <c r="D621" s="169"/>
      <c r="E621" s="157" t="s">
        <v>158</v>
      </c>
      <c r="F621" s="199"/>
      <c r="G621" s="42"/>
      <c r="H621" s="160" t="s">
        <v>14</v>
      </c>
      <c r="I621" s="44"/>
      <c r="J621" s="44"/>
      <c r="K621" s="45"/>
      <c r="L621" s="521">
        <v>0</v>
      </c>
      <c r="M621" s="48">
        <v>0</v>
      </c>
      <c r="N621" s="48">
        <v>0</v>
      </c>
      <c r="O621" s="48">
        <f t="shared" si="382"/>
        <v>0</v>
      </c>
      <c r="P621" s="48">
        <f t="shared" si="383"/>
        <v>0</v>
      </c>
      <c r="Q621" s="48">
        <v>0</v>
      </c>
      <c r="R621" s="48">
        <v>0</v>
      </c>
      <c r="S621" s="48">
        <v>0</v>
      </c>
      <c r="T621" s="48">
        <f t="shared" si="385"/>
        <v>0</v>
      </c>
      <c r="U621" s="48">
        <f t="shared" si="386"/>
        <v>0</v>
      </c>
    </row>
    <row r="622" spans="1:21" ht="18.75" hidden="1" x14ac:dyDescent="0.25">
      <c r="A622" s="128"/>
      <c r="B622" s="159"/>
      <c r="C622" s="159"/>
      <c r="D622" s="169"/>
      <c r="E622" s="270" t="s">
        <v>159</v>
      </c>
      <c r="F622" s="199"/>
      <c r="G622" s="42"/>
      <c r="H622" s="134" t="s">
        <v>14</v>
      </c>
      <c r="I622" s="44"/>
      <c r="J622" s="44"/>
      <c r="K622" s="45"/>
      <c r="L622" s="519">
        <v>0</v>
      </c>
      <c r="M622" s="46">
        <v>0</v>
      </c>
      <c r="N622" s="46">
        <v>0</v>
      </c>
      <c r="O622" s="46">
        <f t="shared" si="382"/>
        <v>0</v>
      </c>
      <c r="P622" s="46">
        <f t="shared" si="383"/>
        <v>0</v>
      </c>
      <c r="Q622" s="46">
        <f ca="1">IFERROR(__xludf.DUMMYFUNCTION("IMPORTRANGE(""https://docs.google.com/spreadsheets/d/1ItG2mGa2ceCfYo0BwxsXqNm01IGEUdYcSSLTEv9YCik/edit?usp=sharing"",""เบิกจ่ายกองทุน!F82"")"),6775)</f>
        <v>6775</v>
      </c>
      <c r="R622" s="46">
        <f ca="1">IFERROR(__xludf.DUMMYFUNCTION("IMPORTRANGE(""https://docs.google.com/spreadsheets/d/1ItG2mGa2ceCfYo0BwxsXqNm01IGEUdYcSSLTEv9YCik/edit?usp=sharing"",""เบิกจ่ายกองทุน!G82"")"),6775)</f>
        <v>6775</v>
      </c>
      <c r="S622" s="46">
        <f ca="1">IFERROR(__xludf.DUMMYFUNCTION("IMPORTRANGE(""https://docs.google.com/spreadsheets/d/1ItG2mGa2ceCfYo0BwxsXqNm01IGEUdYcSSLTEv9YCik/edit?usp=sharing"",""เบิกจ่ายกองทุน!H82"")"),0)</f>
        <v>0</v>
      </c>
      <c r="T622" s="46">
        <f t="shared" ca="1" si="385"/>
        <v>0</v>
      </c>
      <c r="U622" s="46">
        <f t="shared" ca="1" si="386"/>
        <v>0</v>
      </c>
    </row>
    <row r="623" spans="1:21" ht="18.75" x14ac:dyDescent="0.25">
      <c r="A623" s="128"/>
      <c r="B623" s="159"/>
      <c r="C623" s="159"/>
      <c r="D623" s="41" t="s">
        <v>23</v>
      </c>
      <c r="E623" s="199"/>
      <c r="F623" s="199"/>
      <c r="G623" s="42"/>
      <c r="H623" s="137" t="s">
        <v>14</v>
      </c>
      <c r="I623" s="135"/>
      <c r="J623" s="135"/>
      <c r="K623" s="136"/>
      <c r="L623" s="519">
        <f t="shared" ref="L623:N623" si="391">L624+L625</f>
        <v>0</v>
      </c>
      <c r="M623" s="46">
        <f t="shared" si="391"/>
        <v>0</v>
      </c>
      <c r="N623" s="46">
        <f t="shared" si="391"/>
        <v>0</v>
      </c>
      <c r="O623" s="46">
        <f t="shared" si="382"/>
        <v>0</v>
      </c>
      <c r="P623" s="46">
        <f t="shared" si="383"/>
        <v>0</v>
      </c>
      <c r="Q623" s="46">
        <f t="shared" ref="Q623:S623" si="392">Q624+Q625</f>
        <v>0</v>
      </c>
      <c r="R623" s="46">
        <f t="shared" si="392"/>
        <v>0</v>
      </c>
      <c r="S623" s="46">
        <f t="shared" si="392"/>
        <v>0</v>
      </c>
      <c r="T623" s="46">
        <f t="shared" si="385"/>
        <v>0</v>
      </c>
      <c r="U623" s="46">
        <f t="shared" si="386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199"/>
      <c r="G624" s="42"/>
      <c r="H624" s="160" t="s">
        <v>14</v>
      </c>
      <c r="I624" s="135"/>
      <c r="J624" s="135"/>
      <c r="K624" s="136"/>
      <c r="L624" s="521">
        <v>0</v>
      </c>
      <c r="M624" s="48">
        <v>0</v>
      </c>
      <c r="N624" s="48">
        <v>0</v>
      </c>
      <c r="O624" s="48">
        <f t="shared" si="382"/>
        <v>0</v>
      </c>
      <c r="P624" s="48">
        <f t="shared" si="383"/>
        <v>0</v>
      </c>
      <c r="Q624" s="48">
        <v>0</v>
      </c>
      <c r="R624" s="48">
        <v>0</v>
      </c>
      <c r="S624" s="48">
        <v>0</v>
      </c>
      <c r="T624" s="48">
        <f t="shared" si="385"/>
        <v>0</v>
      </c>
      <c r="U624" s="48">
        <f t="shared" si="386"/>
        <v>0</v>
      </c>
    </row>
    <row r="625" spans="1:21" ht="18.75" hidden="1" x14ac:dyDescent="0.25">
      <c r="A625" s="128"/>
      <c r="B625" s="159"/>
      <c r="C625" s="159"/>
      <c r="D625" s="159"/>
      <c r="E625" s="270" t="s">
        <v>21</v>
      </c>
      <c r="F625" s="199"/>
      <c r="G625" s="42"/>
      <c r="H625" s="137" t="s">
        <v>14</v>
      </c>
      <c r="I625" s="135"/>
      <c r="J625" s="135"/>
      <c r="K625" s="136"/>
      <c r="L625" s="519">
        <v>0</v>
      </c>
      <c r="M625" s="46">
        <v>0</v>
      </c>
      <c r="N625" s="46">
        <v>0</v>
      </c>
      <c r="O625" s="46">
        <f t="shared" si="382"/>
        <v>0</v>
      </c>
      <c r="P625" s="46">
        <f t="shared" si="383"/>
        <v>0</v>
      </c>
      <c r="Q625" s="46">
        <v>0</v>
      </c>
      <c r="R625" s="46">
        <v>0</v>
      </c>
      <c r="S625" s="46">
        <v>0</v>
      </c>
      <c r="T625" s="46">
        <f t="shared" si="385"/>
        <v>0</v>
      </c>
      <c r="U625" s="46">
        <f t="shared" si="386"/>
        <v>0</v>
      </c>
    </row>
    <row r="626" spans="1:21" ht="19.5" x14ac:dyDescent="0.3">
      <c r="A626" s="138"/>
      <c r="B626" s="139"/>
      <c r="C626" s="190" t="s">
        <v>18</v>
      </c>
      <c r="D626" s="748" t="s">
        <v>38</v>
      </c>
      <c r="E626" s="141"/>
      <c r="F626" s="141"/>
      <c r="G626" s="142"/>
      <c r="H626" s="191"/>
      <c r="I626" s="135"/>
      <c r="J626" s="135"/>
      <c r="K626" s="136"/>
      <c r="L626" s="547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36" t="s">
        <v>223</v>
      </c>
      <c r="E627" s="169"/>
      <c r="F627" s="169"/>
      <c r="G627" s="143"/>
      <c r="H627" s="437" t="s">
        <v>46</v>
      </c>
      <c r="I627" s="147">
        <f ca="1">IFERROR(__xludf.DUMMYFUNCTION("IMPORTRANGE(""https://docs.google.com/spreadsheets/d/1eHaY18a8A9IcSdp1K8H6x8fbOy06t2VsZHhMHf-1x7Y/edit?usp=sharing"",""แผน!ID82"")"),50)</f>
        <v>50</v>
      </c>
      <c r="J627" s="147">
        <f>J633</f>
        <v>0</v>
      </c>
      <c r="K627" s="132">
        <f ca="1">IF(I627&gt;0,J627*100/I627,0)</f>
        <v>0</v>
      </c>
      <c r="L627" s="547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7" t="s">
        <v>224</v>
      </c>
      <c r="F628" s="169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8">
        <v>0</v>
      </c>
      <c r="K628" s="46">
        <f t="shared" ref="K628:K629" ca="1" si="393">IF(I628&gt;0,(J628*100)/I628,0)</f>
        <v>0</v>
      </c>
      <c r="L628" s="547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7" t="s">
        <v>225</v>
      </c>
      <c r="F629" s="169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IFERROR(__xludf.DUMMYFUNCTION("IMPORTRANGE(""https://docs.google.com/spreadsheets/d/1eHaY18a8A9IcSdp1K8H6x8fbOy06t2VsZHhMHf-1x7Y/edit?usp=sharing"",""แผน!IC82"")"),0)</f>
        <v>0</v>
      </c>
      <c r="J629" s="168">
        <v>0</v>
      </c>
      <c r="K629" s="46">
        <f t="shared" ca="1" si="393"/>
        <v>0</v>
      </c>
      <c r="L629" s="547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7" t="s">
        <v>226</v>
      </c>
      <c r="F630" s="169"/>
      <c r="G630" s="143"/>
      <c r="H630" s="137" t="s">
        <v>46</v>
      </c>
      <c r="I630" s="44"/>
      <c r="J630" s="168">
        <v>0</v>
      </c>
      <c r="K630" s="46">
        <f t="shared" ref="K630:K632" ca="1" si="394">IF(I$627&gt;0,J630*100/I$627,0)</f>
        <v>0</v>
      </c>
      <c r="L630" s="547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7" t="s">
        <v>227</v>
      </c>
      <c r="F631" s="169"/>
      <c r="G631" s="143"/>
      <c r="H631" s="137" t="s">
        <v>46</v>
      </c>
      <c r="I631" s="44"/>
      <c r="J631" s="168">
        <v>0</v>
      </c>
      <c r="K631" s="46">
        <f t="shared" ca="1" si="394"/>
        <v>0</v>
      </c>
      <c r="L631" s="547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7" t="s">
        <v>228</v>
      </c>
      <c r="F632" s="169"/>
      <c r="G632" s="143"/>
      <c r="H632" s="137" t="s">
        <v>46</v>
      </c>
      <c r="I632" s="44"/>
      <c r="J632" s="168">
        <v>0</v>
      </c>
      <c r="K632" s="46">
        <f t="shared" ca="1" si="394"/>
        <v>0</v>
      </c>
      <c r="L632" s="547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7" t="s">
        <v>229</v>
      </c>
      <c r="F633" s="169"/>
      <c r="G633" s="143"/>
      <c r="H633" s="137" t="s">
        <v>46</v>
      </c>
      <c r="I633" s="44"/>
      <c r="J633" s="147">
        <f>J634+J635</f>
        <v>0</v>
      </c>
      <c r="K633" s="132">
        <f ca="1">IF(I627&gt;0,J633*100/I627,0)</f>
        <v>0</v>
      </c>
      <c r="L633" s="547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7" t="s">
        <v>230</v>
      </c>
      <c r="G634" s="143"/>
      <c r="H634" s="137" t="s">
        <v>46</v>
      </c>
      <c r="I634" s="44"/>
      <c r="J634" s="168">
        <v>0</v>
      </c>
      <c r="K634" s="45"/>
      <c r="L634" s="547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7" t="s">
        <v>231</v>
      </c>
      <c r="G635" s="143"/>
      <c r="H635" s="137" t="s">
        <v>46</v>
      </c>
      <c r="I635" s="44"/>
      <c r="J635" s="168">
        <v>0</v>
      </c>
      <c r="K635" s="45"/>
      <c r="L635" s="547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36" t="s">
        <v>232</v>
      </c>
      <c r="E636" s="169"/>
      <c r="F636" s="169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IFERROR(__xludf.DUMMYFUNCTION("IMPORTRANGE(""https://docs.google.com/spreadsheets/d/1eHaY18a8A9IcSdp1K8H6x8fbOy06t2VsZHhMHf-1x7Y/edit?usp=sharing"",""แผน!IE82"")"),0)</f>
        <v>0</v>
      </c>
      <c r="J636" s="147">
        <f>J637</f>
        <v>0</v>
      </c>
      <c r="K636" s="132">
        <f ca="1">IF(I636&gt;0,J636*100/I636,0)</f>
        <v>0</v>
      </c>
      <c r="L636" s="547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7" t="s">
        <v>233</v>
      </c>
      <c r="F637" s="169"/>
      <c r="G637" s="143"/>
      <c r="H637" s="137" t="s">
        <v>46</v>
      </c>
      <c r="I637" s="44"/>
      <c r="J637" s="152">
        <f>J638+J639</f>
        <v>0</v>
      </c>
      <c r="K637" s="45"/>
      <c r="L637" s="547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7" t="s">
        <v>230</v>
      </c>
      <c r="G638" s="143"/>
      <c r="H638" s="137" t="s">
        <v>46</v>
      </c>
      <c r="I638" s="44"/>
      <c r="J638" s="168">
        <v>0</v>
      </c>
      <c r="K638" s="45"/>
      <c r="L638" s="547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7" t="s">
        <v>231</v>
      </c>
      <c r="G639" s="143"/>
      <c r="H639" s="137" t="s">
        <v>46</v>
      </c>
      <c r="I639" s="44"/>
      <c r="J639" s="168">
        <v>0</v>
      </c>
      <c r="K639" s="45"/>
      <c r="L639" s="547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7" t="s">
        <v>234</v>
      </c>
      <c r="F640" s="169"/>
      <c r="G640" s="143"/>
      <c r="H640" s="137" t="s">
        <v>46</v>
      </c>
      <c r="I640" s="44"/>
      <c r="J640" s="168">
        <v>0</v>
      </c>
      <c r="K640" s="45"/>
      <c r="L640" s="547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7" t="s">
        <v>235</v>
      </c>
      <c r="G641" s="143"/>
      <c r="H641" s="137" t="s">
        <v>46</v>
      </c>
      <c r="I641" s="44"/>
      <c r="J641" s="168">
        <v>0</v>
      </c>
      <c r="K641" s="45"/>
      <c r="L641" s="547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27"/>
      <c r="B642" s="428" t="s">
        <v>236</v>
      </c>
      <c r="C642" s="427"/>
      <c r="D642" s="429"/>
      <c r="E642" s="429"/>
      <c r="F642" s="429"/>
      <c r="G642" s="430"/>
      <c r="H642" s="438"/>
      <c r="I642" s="439"/>
      <c r="J642" s="439"/>
      <c r="K642" s="434"/>
      <c r="L642" s="746"/>
      <c r="M642" s="434"/>
      <c r="N642" s="434"/>
      <c r="O642" s="434"/>
      <c r="P642" s="434"/>
      <c r="Q642" s="434"/>
      <c r="R642" s="434"/>
      <c r="S642" s="434"/>
      <c r="T642" s="434"/>
      <c r="U642" s="434"/>
    </row>
    <row r="643" spans="1:21" ht="19.5" hidden="1" x14ac:dyDescent="0.3">
      <c r="A643" s="128"/>
      <c r="B643" s="159"/>
      <c r="C643" s="440" t="s">
        <v>18</v>
      </c>
      <c r="D643" s="747" t="s">
        <v>19</v>
      </c>
      <c r="E643" s="490"/>
      <c r="F643" s="490"/>
      <c r="G643" s="491"/>
      <c r="H643" s="239" t="s">
        <v>14</v>
      </c>
      <c r="I643" s="44"/>
      <c r="J643" s="44"/>
      <c r="K643" s="45"/>
      <c r="L643" s="545">
        <f t="shared" ref="L643:N643" si="395">L644+L645</f>
        <v>0</v>
      </c>
      <c r="M643" s="132">
        <f t="shared" si="395"/>
        <v>0</v>
      </c>
      <c r="N643" s="132">
        <f t="shared" si="395"/>
        <v>0</v>
      </c>
      <c r="O643" s="132">
        <f t="shared" ref="O643:O651" si="396">IF(L643&gt;0,N643*100/L643,0)</f>
        <v>0</v>
      </c>
      <c r="P643" s="132">
        <f t="shared" ref="P643:P651" si="397">IF(M643&gt;0,N643*100/M643,0)</f>
        <v>0</v>
      </c>
      <c r="Q643" s="132">
        <f t="shared" ref="Q643:S643" ca="1" si="398">Q644+Q645</f>
        <v>0</v>
      </c>
      <c r="R643" s="132">
        <f t="shared" ca="1" si="398"/>
        <v>0</v>
      </c>
      <c r="S643" s="132">
        <f t="shared" ca="1" si="398"/>
        <v>0</v>
      </c>
      <c r="T643" s="132">
        <f t="shared" ref="T643:T651" ca="1" si="399">IF(Q643&gt;0,S643*100/Q643,0)</f>
        <v>0</v>
      </c>
      <c r="U643" s="132">
        <f t="shared" ref="U643:U651" ca="1" si="400">IF(R643&gt;0,S643*100/R643,0)</f>
        <v>0</v>
      </c>
    </row>
    <row r="644" spans="1:21" ht="18.75" hidden="1" x14ac:dyDescent="0.25">
      <c r="A644" s="128"/>
      <c r="B644" s="159"/>
      <c r="C644" s="159"/>
      <c r="D644" s="169"/>
      <c r="E644" s="157" t="s">
        <v>158</v>
      </c>
      <c r="F644" s="199"/>
      <c r="G644" s="42"/>
      <c r="H644" s="160" t="s">
        <v>14</v>
      </c>
      <c r="I644" s="44"/>
      <c r="J644" s="44"/>
      <c r="K644" s="45"/>
      <c r="L644" s="521">
        <f t="shared" ref="L644:N645" si="401">L647+L650</f>
        <v>0</v>
      </c>
      <c r="M644" s="48">
        <f t="shared" si="401"/>
        <v>0</v>
      </c>
      <c r="N644" s="48">
        <f t="shared" si="401"/>
        <v>0</v>
      </c>
      <c r="O644" s="48">
        <f t="shared" si="396"/>
        <v>0</v>
      </c>
      <c r="P644" s="48">
        <f t="shared" si="397"/>
        <v>0</v>
      </c>
      <c r="Q644" s="48">
        <f t="shared" ref="Q644:S645" si="402">Q647+Q650</f>
        <v>0</v>
      </c>
      <c r="R644" s="48">
        <f t="shared" si="402"/>
        <v>0</v>
      </c>
      <c r="S644" s="48">
        <f t="shared" si="402"/>
        <v>0</v>
      </c>
      <c r="T644" s="48">
        <f t="shared" si="399"/>
        <v>0</v>
      </c>
      <c r="U644" s="48">
        <f t="shared" si="400"/>
        <v>0</v>
      </c>
    </row>
    <row r="645" spans="1:21" ht="18.75" hidden="1" x14ac:dyDescent="0.25">
      <c r="A645" s="128"/>
      <c r="B645" s="159"/>
      <c r="C645" s="159"/>
      <c r="D645" s="169"/>
      <c r="E645" s="270" t="s">
        <v>159</v>
      </c>
      <c r="F645" s="199"/>
      <c r="G645" s="42"/>
      <c r="H645" s="134" t="s">
        <v>14</v>
      </c>
      <c r="I645" s="44"/>
      <c r="J645" s="44"/>
      <c r="K645" s="45"/>
      <c r="L645" s="519">
        <f t="shared" si="401"/>
        <v>0</v>
      </c>
      <c r="M645" s="46">
        <f t="shared" si="401"/>
        <v>0</v>
      </c>
      <c r="N645" s="46">
        <f t="shared" si="401"/>
        <v>0</v>
      </c>
      <c r="O645" s="46">
        <f t="shared" si="396"/>
        <v>0</v>
      </c>
      <c r="P645" s="46">
        <f t="shared" si="397"/>
        <v>0</v>
      </c>
      <c r="Q645" s="46">
        <f t="shared" ca="1" si="402"/>
        <v>0</v>
      </c>
      <c r="R645" s="46">
        <f t="shared" ca="1" si="402"/>
        <v>0</v>
      </c>
      <c r="S645" s="46">
        <f t="shared" ca="1" si="402"/>
        <v>0</v>
      </c>
      <c r="T645" s="46">
        <f t="shared" ca="1" si="399"/>
        <v>0</v>
      </c>
      <c r="U645" s="46">
        <f t="shared" ca="1" si="400"/>
        <v>0</v>
      </c>
    </row>
    <row r="646" spans="1:21" ht="18.75" hidden="1" x14ac:dyDescent="0.25">
      <c r="A646" s="128"/>
      <c r="B646" s="159"/>
      <c r="C646" s="159"/>
      <c r="D646" s="41" t="s">
        <v>22</v>
      </c>
      <c r="E646" s="199"/>
      <c r="F646" s="199"/>
      <c r="G646" s="42"/>
      <c r="H646" s="134" t="s">
        <v>14</v>
      </c>
      <c r="I646" s="135"/>
      <c r="J646" s="135"/>
      <c r="K646" s="136"/>
      <c r="L646" s="519">
        <f t="shared" ref="L646:N646" si="403">L647+L648</f>
        <v>0</v>
      </c>
      <c r="M646" s="46">
        <f t="shared" si="403"/>
        <v>0</v>
      </c>
      <c r="N646" s="46">
        <f t="shared" si="403"/>
        <v>0</v>
      </c>
      <c r="O646" s="46">
        <f t="shared" si="396"/>
        <v>0</v>
      </c>
      <c r="P646" s="46">
        <f t="shared" si="397"/>
        <v>0</v>
      </c>
      <c r="Q646" s="46">
        <f t="shared" ref="Q646:S646" ca="1" si="404">Q647+Q648</f>
        <v>0</v>
      </c>
      <c r="R646" s="46">
        <f t="shared" ca="1" si="404"/>
        <v>0</v>
      </c>
      <c r="S646" s="46">
        <f t="shared" ca="1" si="404"/>
        <v>0</v>
      </c>
      <c r="T646" s="46">
        <f t="shared" ca="1" si="399"/>
        <v>0</v>
      </c>
      <c r="U646" s="46">
        <f t="shared" ca="1" si="400"/>
        <v>0</v>
      </c>
    </row>
    <row r="647" spans="1:21" ht="18.75" hidden="1" x14ac:dyDescent="0.25">
      <c r="A647" s="128"/>
      <c r="B647" s="159"/>
      <c r="C647" s="159"/>
      <c r="D647" s="169"/>
      <c r="E647" s="157" t="s">
        <v>158</v>
      </c>
      <c r="F647" s="199"/>
      <c r="G647" s="42"/>
      <c r="H647" s="160" t="s">
        <v>14</v>
      </c>
      <c r="I647" s="44"/>
      <c r="J647" s="44"/>
      <c r="K647" s="45"/>
      <c r="L647" s="521">
        <v>0</v>
      </c>
      <c r="M647" s="48">
        <v>0</v>
      </c>
      <c r="N647" s="48">
        <v>0</v>
      </c>
      <c r="O647" s="48">
        <f t="shared" si="396"/>
        <v>0</v>
      </c>
      <c r="P647" s="48">
        <f t="shared" si="397"/>
        <v>0</v>
      </c>
      <c r="Q647" s="48">
        <v>0</v>
      </c>
      <c r="R647" s="48">
        <v>0</v>
      </c>
      <c r="S647" s="48">
        <v>0</v>
      </c>
      <c r="T647" s="48">
        <f t="shared" si="399"/>
        <v>0</v>
      </c>
      <c r="U647" s="48">
        <f t="shared" si="400"/>
        <v>0</v>
      </c>
    </row>
    <row r="648" spans="1:21" ht="18.75" hidden="1" x14ac:dyDescent="0.25">
      <c r="A648" s="128"/>
      <c r="B648" s="159"/>
      <c r="C648" s="159"/>
      <c r="D648" s="169"/>
      <c r="E648" s="270" t="s">
        <v>159</v>
      </c>
      <c r="F648" s="199"/>
      <c r="G648" s="42"/>
      <c r="H648" s="134" t="s">
        <v>14</v>
      </c>
      <c r="I648" s="44"/>
      <c r="J648" s="44"/>
      <c r="K648" s="45"/>
      <c r="L648" s="519">
        <v>0</v>
      </c>
      <c r="M648" s="46">
        <v>0</v>
      </c>
      <c r="N648" s="46">
        <v>0</v>
      </c>
      <c r="O648" s="46">
        <f t="shared" si="396"/>
        <v>0</v>
      </c>
      <c r="P648" s="46">
        <f t="shared" si="397"/>
        <v>0</v>
      </c>
      <c r="Q648" s="46">
        <f ca="1">IFERROR(__xludf.DUMMYFUNCTION("IMPORTRANGE(""https://docs.google.com/spreadsheets/d/1ItG2mGa2ceCfYo0BwxsXqNm01IGEUdYcSSLTEv9YCik/edit?usp=sharing"",""เบิกจ่ายกองทุน!I82"")"),0)</f>
        <v>0</v>
      </c>
      <c r="R648" s="46">
        <f ca="1">IFERROR(__xludf.DUMMYFUNCTION("IMPORTRANGE(""https://docs.google.com/spreadsheets/d/1ItG2mGa2ceCfYo0BwxsXqNm01IGEUdYcSSLTEv9YCik/edit?usp=sharing"",""เบิกจ่ายกองทุน!J82"")"),0)</f>
        <v>0</v>
      </c>
      <c r="S648" s="46">
        <f ca="1">IFERROR(__xludf.DUMMYFUNCTION("IMPORTRANGE(""https://docs.google.com/spreadsheets/d/1ItG2mGa2ceCfYo0BwxsXqNm01IGEUdYcSSLTEv9YCik/edit?usp=sharing"",""เบิกจ่ายกองทุน!K82"")"),0)</f>
        <v>0</v>
      </c>
      <c r="T648" s="46">
        <f t="shared" ca="1" si="399"/>
        <v>0</v>
      </c>
      <c r="U648" s="46">
        <f t="shared" ca="1" si="400"/>
        <v>0</v>
      </c>
    </row>
    <row r="649" spans="1:21" ht="18.75" hidden="1" x14ac:dyDescent="0.25">
      <c r="A649" s="128"/>
      <c r="B649" s="159"/>
      <c r="C649" s="159"/>
      <c r="D649" s="41" t="s">
        <v>23</v>
      </c>
      <c r="E649" s="199"/>
      <c r="F649" s="199"/>
      <c r="G649" s="42"/>
      <c r="H649" s="137" t="s">
        <v>14</v>
      </c>
      <c r="I649" s="135"/>
      <c r="J649" s="135"/>
      <c r="K649" s="136"/>
      <c r="L649" s="519">
        <f t="shared" ref="L649:N649" si="405">L650+L651</f>
        <v>0</v>
      </c>
      <c r="M649" s="46">
        <f t="shared" si="405"/>
        <v>0</v>
      </c>
      <c r="N649" s="46">
        <f t="shared" si="405"/>
        <v>0</v>
      </c>
      <c r="O649" s="46">
        <f t="shared" si="396"/>
        <v>0</v>
      </c>
      <c r="P649" s="46">
        <f t="shared" si="397"/>
        <v>0</v>
      </c>
      <c r="Q649" s="46">
        <f t="shared" ref="Q649:S649" si="406">Q650+Q651</f>
        <v>0</v>
      </c>
      <c r="R649" s="46">
        <f t="shared" si="406"/>
        <v>0</v>
      </c>
      <c r="S649" s="46">
        <f t="shared" si="406"/>
        <v>0</v>
      </c>
      <c r="T649" s="46">
        <f t="shared" si="399"/>
        <v>0</v>
      </c>
      <c r="U649" s="46">
        <f t="shared" si="400"/>
        <v>0</v>
      </c>
    </row>
    <row r="650" spans="1:21" ht="18.75" hidden="1" x14ac:dyDescent="0.25">
      <c r="A650" s="128"/>
      <c r="B650" s="159"/>
      <c r="C650" s="159"/>
      <c r="D650" s="199"/>
      <c r="E650" s="157" t="s">
        <v>20</v>
      </c>
      <c r="F650" s="199"/>
      <c r="G650" s="42"/>
      <c r="H650" s="160" t="s">
        <v>14</v>
      </c>
      <c r="I650" s="135"/>
      <c r="J650" s="135"/>
      <c r="K650" s="136"/>
      <c r="L650" s="521">
        <v>0</v>
      </c>
      <c r="M650" s="48">
        <v>0</v>
      </c>
      <c r="N650" s="48">
        <v>0</v>
      </c>
      <c r="O650" s="48">
        <f t="shared" si="396"/>
        <v>0</v>
      </c>
      <c r="P650" s="48">
        <f t="shared" si="397"/>
        <v>0</v>
      </c>
      <c r="Q650" s="48">
        <v>0</v>
      </c>
      <c r="R650" s="48">
        <v>0</v>
      </c>
      <c r="S650" s="48">
        <v>0</v>
      </c>
      <c r="T650" s="48">
        <f t="shared" si="399"/>
        <v>0</v>
      </c>
      <c r="U650" s="48">
        <f t="shared" si="400"/>
        <v>0</v>
      </c>
    </row>
    <row r="651" spans="1:21" ht="18.75" hidden="1" x14ac:dyDescent="0.25">
      <c r="A651" s="128"/>
      <c r="B651" s="159"/>
      <c r="C651" s="159"/>
      <c r="D651" s="199"/>
      <c r="E651" s="270" t="s">
        <v>21</v>
      </c>
      <c r="F651" s="199"/>
      <c r="G651" s="42"/>
      <c r="H651" s="137" t="s">
        <v>14</v>
      </c>
      <c r="I651" s="135"/>
      <c r="J651" s="135"/>
      <c r="K651" s="136"/>
      <c r="L651" s="519">
        <v>0</v>
      </c>
      <c r="M651" s="46">
        <v>0</v>
      </c>
      <c r="N651" s="46">
        <v>0</v>
      </c>
      <c r="O651" s="46">
        <f t="shared" si="396"/>
        <v>0</v>
      </c>
      <c r="P651" s="46">
        <f t="shared" si="397"/>
        <v>0</v>
      </c>
      <c r="Q651" s="46">
        <v>0</v>
      </c>
      <c r="R651" s="46">
        <v>0</v>
      </c>
      <c r="S651" s="46">
        <v>0</v>
      </c>
      <c r="T651" s="46">
        <f t="shared" si="399"/>
        <v>0</v>
      </c>
      <c r="U651" s="46">
        <f t="shared" si="400"/>
        <v>0</v>
      </c>
    </row>
    <row r="652" spans="1:21" ht="19.5" hidden="1" x14ac:dyDescent="0.3">
      <c r="A652" s="138"/>
      <c r="B652" s="139"/>
      <c r="C652" s="440" t="s">
        <v>18</v>
      </c>
      <c r="D652" s="749" t="s">
        <v>38</v>
      </c>
      <c r="E652" s="141"/>
      <c r="F652" s="141"/>
      <c r="G652" s="142"/>
      <c r="H652" s="191"/>
      <c r="I652" s="135"/>
      <c r="J652" s="135"/>
      <c r="K652" s="136"/>
      <c r="L652" s="547"/>
      <c r="M652" s="136"/>
      <c r="N652" s="136"/>
      <c r="O652" s="136"/>
      <c r="P652" s="136"/>
      <c r="Q652" s="45"/>
      <c r="R652" s="45"/>
      <c r="S652" s="45"/>
      <c r="T652" s="136"/>
      <c r="U652" s="136"/>
    </row>
    <row r="653" spans="1:21" ht="18.75" hidden="1" x14ac:dyDescent="0.25">
      <c r="A653" s="224"/>
      <c r="B653" s="159"/>
      <c r="C653" s="159"/>
      <c r="D653" s="270" t="s">
        <v>237</v>
      </c>
      <c r="E653" s="199"/>
      <c r="F653" s="199"/>
      <c r="G653" s="42"/>
      <c r="H653" s="137" t="s">
        <v>46</v>
      </c>
      <c r="I653" s="442">
        <f ca="1">IFERROR(__xludf.DUMMYFUNCTION("IMPORTRANGE(""https://docs.google.com/spreadsheets/d/1eHaY18a8A9IcSdp1K8H6x8fbOy06t2VsZHhMHf-1x7Y/edit?usp=sharing"",""แผน!IF82"")"),0)</f>
        <v>0</v>
      </c>
      <c r="J653" s="152">
        <f ca="1">IFERROR(__xludf.DUMMYFUNCTION("IMPORTRANGE(""https://docs.google.com/spreadsheets/d/1tdoBKaGub7dwA3U6UFTqxio9LNnvDCQjHKmttSEBsFQ/edit?usp=sharing"",""จัดที่ดิน!AU82"")"),0)</f>
        <v>0</v>
      </c>
      <c r="K653" s="46">
        <f t="shared" ref="K653:K655" ca="1" si="407">IF(I653&gt;0,J653*100/I653,0)</f>
        <v>0</v>
      </c>
      <c r="L653" s="522"/>
      <c r="M653" s="45"/>
      <c r="N653" s="444"/>
      <c r="O653" s="45"/>
      <c r="P653" s="45"/>
      <c r="Q653" s="45"/>
      <c r="R653" s="45"/>
      <c r="S653" s="444"/>
      <c r="T653" s="45"/>
      <c r="U653" s="45"/>
    </row>
    <row r="654" spans="1:21" ht="18.75" hidden="1" x14ac:dyDescent="0.25">
      <c r="A654" s="224"/>
      <c r="B654" s="159"/>
      <c r="C654" s="159"/>
      <c r="D654" s="270" t="s">
        <v>238</v>
      </c>
      <c r="E654" s="199"/>
      <c r="F654" s="199"/>
      <c r="G654" s="42"/>
      <c r="H654" s="137" t="s">
        <v>35</v>
      </c>
      <c r="I654" s="442">
        <f ca="1">IFERROR(__xludf.DUMMYFUNCTION("IMPORTRANGE(""https://docs.google.com/spreadsheets/d/1eHaY18a8A9IcSdp1K8H6x8fbOy06t2VsZHhMHf-1x7Y/edit?usp=sharing"",""แผน!IG82"")"),0)</f>
        <v>0</v>
      </c>
      <c r="J654" s="152">
        <f ca="1">IFERROR(__xludf.DUMMYFUNCTION("IMPORTRANGE(""https://docs.google.com/spreadsheets/d/1tdoBKaGub7dwA3U6UFTqxio9LNnvDCQjHKmttSEBsFQ/edit?usp=sharing"",""จัดที่ดิน!AW82"")"),0)</f>
        <v>0</v>
      </c>
      <c r="K654" s="46">
        <f t="shared" ca="1" si="407"/>
        <v>0</v>
      </c>
      <c r="L654" s="522"/>
      <c r="M654" s="45"/>
      <c r="N654" s="444"/>
      <c r="O654" s="45"/>
      <c r="P654" s="45"/>
      <c r="Q654" s="45"/>
      <c r="R654" s="45"/>
      <c r="S654" s="444"/>
      <c r="T654" s="45"/>
      <c r="U654" s="45"/>
    </row>
    <row r="655" spans="1:21" ht="19.5" hidden="1" x14ac:dyDescent="0.3">
      <c r="A655" s="224"/>
      <c r="B655" s="159"/>
      <c r="C655" s="159"/>
      <c r="D655" s="270" t="s">
        <v>239</v>
      </c>
      <c r="E655" s="199"/>
      <c r="F655" s="199"/>
      <c r="G655" s="42"/>
      <c r="H655" s="437" t="s">
        <v>46</v>
      </c>
      <c r="I655" s="443">
        <f ca="1">IFERROR(__xludf.DUMMYFUNCTION("IMPORTRANGE(""https://docs.google.com/spreadsheets/d/1eHaY18a8A9IcSdp1K8H6x8fbOy06t2VsZHhMHf-1x7Y/edit?usp=sharing"",""แผน!IH82"")"),0)</f>
        <v>0</v>
      </c>
      <c r="J655" s="147">
        <f>J658+J661</f>
        <v>0</v>
      </c>
      <c r="K655" s="132">
        <f t="shared" ca="1" si="407"/>
        <v>0</v>
      </c>
      <c r="L655" s="522"/>
      <c r="M655" s="45"/>
      <c r="N655" s="444"/>
      <c r="O655" s="45"/>
      <c r="P655" s="45"/>
      <c r="Q655" s="45"/>
      <c r="R655" s="45"/>
      <c r="S655" s="444"/>
      <c r="T655" s="45"/>
      <c r="U655" s="45"/>
    </row>
    <row r="656" spans="1:21" ht="18.75" hidden="1" x14ac:dyDescent="0.25">
      <c r="A656" s="224"/>
      <c r="B656" s="159"/>
      <c r="C656" s="159"/>
      <c r="D656" s="199"/>
      <c r="E656" s="270" t="s">
        <v>240</v>
      </c>
      <c r="F656" s="199"/>
      <c r="G656" s="42"/>
      <c r="H656" s="137" t="s">
        <v>35</v>
      </c>
      <c r="I656" s="193"/>
      <c r="J656" s="168">
        <v>0</v>
      </c>
      <c r="K656" s="45"/>
      <c r="L656" s="522"/>
      <c r="M656" s="45"/>
      <c r="N656" s="444"/>
      <c r="O656" s="45"/>
      <c r="P656" s="45"/>
      <c r="Q656" s="45"/>
      <c r="R656" s="45"/>
      <c r="S656" s="444"/>
      <c r="T656" s="45"/>
      <c r="U656" s="45"/>
    </row>
    <row r="657" spans="1:21" ht="18.75" hidden="1" x14ac:dyDescent="0.25">
      <c r="A657" s="224"/>
      <c r="B657" s="159"/>
      <c r="C657" s="159"/>
      <c r="D657" s="199"/>
      <c r="E657" s="199"/>
      <c r="F657" s="199"/>
      <c r="G657" s="42"/>
      <c r="H657" s="137" t="s">
        <v>34</v>
      </c>
      <c r="I657" s="193"/>
      <c r="J657" s="168">
        <v>0</v>
      </c>
      <c r="K657" s="45"/>
      <c r="L657" s="522"/>
      <c r="M657" s="45"/>
      <c r="N657" s="444"/>
      <c r="O657" s="45"/>
      <c r="P657" s="45"/>
      <c r="Q657" s="45"/>
      <c r="R657" s="45"/>
      <c r="S657" s="444"/>
      <c r="T657" s="45"/>
      <c r="U657" s="45"/>
    </row>
    <row r="658" spans="1:21" ht="18.75" hidden="1" x14ac:dyDescent="0.25">
      <c r="A658" s="224"/>
      <c r="B658" s="159"/>
      <c r="C658" s="159"/>
      <c r="D658" s="199"/>
      <c r="E658" s="199"/>
      <c r="F658" s="199"/>
      <c r="G658" s="42"/>
      <c r="H658" s="137" t="s">
        <v>46</v>
      </c>
      <c r="I658" s="442">
        <f ca="1">IFERROR(__xludf.DUMMYFUNCTION("IMPORTRANGE(""https://docs.google.com/spreadsheets/d/1eHaY18a8A9IcSdp1K8H6x8fbOy06t2VsZHhMHf-1x7Y/edit?usp=sharing"",""แผน!II82"")"),0)</f>
        <v>0</v>
      </c>
      <c r="J658" s="168">
        <v>0</v>
      </c>
      <c r="K658" s="45"/>
      <c r="L658" s="522"/>
      <c r="M658" s="45"/>
      <c r="N658" s="444"/>
      <c r="O658" s="45"/>
      <c r="P658" s="45"/>
      <c r="Q658" s="45"/>
      <c r="R658" s="45"/>
      <c r="S658" s="444"/>
      <c r="T658" s="45"/>
      <c r="U658" s="45"/>
    </row>
    <row r="659" spans="1:21" ht="18.75" hidden="1" x14ac:dyDescent="0.25">
      <c r="A659" s="224"/>
      <c r="B659" s="159"/>
      <c r="C659" s="159"/>
      <c r="D659" s="199"/>
      <c r="E659" s="270" t="s">
        <v>241</v>
      </c>
      <c r="F659" s="199"/>
      <c r="G659" s="42"/>
      <c r="H659" s="137" t="s">
        <v>35</v>
      </c>
      <c r="I659" s="193"/>
      <c r="J659" s="168">
        <v>0</v>
      </c>
      <c r="K659" s="45"/>
      <c r="L659" s="522"/>
      <c r="M659" s="45"/>
      <c r="N659" s="444"/>
      <c r="O659" s="45"/>
      <c r="P659" s="45"/>
      <c r="Q659" s="45"/>
      <c r="R659" s="45"/>
      <c r="S659" s="444"/>
      <c r="T659" s="45"/>
      <c r="U659" s="45"/>
    </row>
    <row r="660" spans="1:21" ht="18.75" hidden="1" x14ac:dyDescent="0.25">
      <c r="A660" s="224"/>
      <c r="B660" s="159"/>
      <c r="C660" s="159"/>
      <c r="D660" s="199"/>
      <c r="E660" s="199"/>
      <c r="F660" s="199"/>
      <c r="G660" s="42"/>
      <c r="H660" s="137" t="s">
        <v>34</v>
      </c>
      <c r="I660" s="193"/>
      <c r="J660" s="168">
        <v>0</v>
      </c>
      <c r="K660" s="45"/>
      <c r="L660" s="522"/>
      <c r="M660" s="45"/>
      <c r="N660" s="444"/>
      <c r="O660" s="45"/>
      <c r="P660" s="45"/>
      <c r="Q660" s="45"/>
      <c r="R660" s="45"/>
      <c r="S660" s="444"/>
      <c r="T660" s="45"/>
      <c r="U660" s="45"/>
    </row>
    <row r="661" spans="1:21" ht="18.75" hidden="1" x14ac:dyDescent="0.25">
      <c r="A661" s="224"/>
      <c r="B661" s="159"/>
      <c r="C661" s="159"/>
      <c r="D661" s="199"/>
      <c r="E661" s="199"/>
      <c r="F661" s="199"/>
      <c r="G661" s="42"/>
      <c r="H661" s="137" t="s">
        <v>46</v>
      </c>
      <c r="I661" s="442">
        <f ca="1">IFERROR(__xludf.DUMMYFUNCTION("IMPORTRANGE(""https://docs.google.com/spreadsheets/d/1eHaY18a8A9IcSdp1K8H6x8fbOy06t2VsZHhMHf-1x7Y/edit?usp=sharing"",""แผน!IJ82"")"),0)</f>
        <v>0</v>
      </c>
      <c r="J661" s="168">
        <v>0</v>
      </c>
      <c r="K661" s="45"/>
      <c r="L661" s="522"/>
      <c r="M661" s="45"/>
      <c r="N661" s="444"/>
      <c r="O661" s="45"/>
      <c r="P661" s="45"/>
      <c r="Q661" s="45"/>
      <c r="R661" s="45"/>
      <c r="S661" s="444"/>
      <c r="T661" s="45"/>
      <c r="U661" s="45"/>
    </row>
    <row r="662" spans="1:21" ht="19.5" hidden="1" x14ac:dyDescent="0.3">
      <c r="A662" s="224"/>
      <c r="B662" s="159"/>
      <c r="C662" s="159"/>
      <c r="D662" s="358" t="s">
        <v>242</v>
      </c>
      <c r="E662" s="199"/>
      <c r="F662" s="199"/>
      <c r="G662" s="42"/>
      <c r="H662" s="437" t="s">
        <v>46</v>
      </c>
      <c r="I662" s="443">
        <f ca="1">IFERROR(__xludf.DUMMYFUNCTION("IMPORTRANGE(""https://docs.google.com/spreadsheets/d/1eHaY18a8A9IcSdp1K8H6x8fbOy06t2VsZHhMHf-1x7Y/edit?usp=sharing"",""แผน!IK82"")"),0)</f>
        <v>0</v>
      </c>
      <c r="J662" s="147">
        <f>J668+J671</f>
        <v>0</v>
      </c>
      <c r="K662" s="132">
        <f ca="1">IF(I662&gt;0,J662*100/I662,0)</f>
        <v>0</v>
      </c>
      <c r="L662" s="522"/>
      <c r="M662" s="45"/>
      <c r="N662" s="444"/>
      <c r="O662" s="45"/>
      <c r="P662" s="45"/>
      <c r="Q662" s="45"/>
      <c r="R662" s="45"/>
      <c r="S662" s="444"/>
      <c r="T662" s="45"/>
      <c r="U662" s="45"/>
    </row>
    <row r="663" spans="1:21" ht="18.75" hidden="1" x14ac:dyDescent="0.25">
      <c r="A663" s="224"/>
      <c r="B663" s="159"/>
      <c r="C663" s="159"/>
      <c r="D663" s="199"/>
      <c r="E663" s="270" t="s">
        <v>243</v>
      </c>
      <c r="F663" s="199"/>
      <c r="G663" s="42"/>
      <c r="H663" s="137" t="s">
        <v>34</v>
      </c>
      <c r="I663" s="193"/>
      <c r="J663" s="168">
        <v>0</v>
      </c>
      <c r="K663" s="45"/>
      <c r="L663" s="750"/>
      <c r="M663" s="45"/>
      <c r="N663" s="444"/>
      <c r="O663" s="45"/>
      <c r="P663" s="45"/>
      <c r="Q663" s="444"/>
      <c r="R663" s="45"/>
      <c r="S663" s="444"/>
      <c r="T663" s="45"/>
      <c r="U663" s="45"/>
    </row>
    <row r="664" spans="1:21" ht="18.75" hidden="1" x14ac:dyDescent="0.25">
      <c r="A664" s="224"/>
      <c r="B664" s="159"/>
      <c r="C664" s="159"/>
      <c r="D664" s="199"/>
      <c r="E664" s="199"/>
      <c r="F664" s="199"/>
      <c r="G664" s="42"/>
      <c r="H664" s="137" t="s">
        <v>46</v>
      </c>
      <c r="I664" s="193"/>
      <c r="J664" s="168">
        <v>0</v>
      </c>
      <c r="K664" s="45"/>
      <c r="L664" s="750"/>
      <c r="M664" s="45"/>
      <c r="N664" s="444"/>
      <c r="O664" s="45"/>
      <c r="P664" s="45"/>
      <c r="Q664" s="444"/>
      <c r="R664" s="45"/>
      <c r="S664" s="444"/>
      <c r="T664" s="45"/>
      <c r="U664" s="45"/>
    </row>
    <row r="665" spans="1:21" ht="18.75" hidden="1" x14ac:dyDescent="0.25">
      <c r="A665" s="224"/>
      <c r="B665" s="159"/>
      <c r="C665" s="159"/>
      <c r="D665" s="199"/>
      <c r="E665" s="270" t="s">
        <v>244</v>
      </c>
      <c r="F665" s="199"/>
      <c r="G665" s="42"/>
      <c r="H665" s="191"/>
      <c r="I665" s="193"/>
      <c r="J665" s="44"/>
      <c r="K665" s="45"/>
      <c r="L665" s="750"/>
      <c r="M665" s="45"/>
      <c r="N665" s="444"/>
      <c r="O665" s="45"/>
      <c r="P665" s="45"/>
      <c r="Q665" s="444"/>
      <c r="R665" s="45"/>
      <c r="S665" s="444"/>
      <c r="T665" s="45"/>
      <c r="U665" s="45"/>
    </row>
    <row r="666" spans="1:21" ht="18.75" hidden="1" x14ac:dyDescent="0.25">
      <c r="A666" s="224"/>
      <c r="B666" s="159"/>
      <c r="C666" s="159"/>
      <c r="D666" s="199"/>
      <c r="E666" s="199"/>
      <c r="F666" s="270" t="s">
        <v>245</v>
      </c>
      <c r="G666" s="42"/>
      <c r="H666" s="137" t="s">
        <v>35</v>
      </c>
      <c r="I666" s="193"/>
      <c r="J666" s="168">
        <v>0</v>
      </c>
      <c r="K666" s="45"/>
      <c r="L666" s="750"/>
      <c r="M666" s="45"/>
      <c r="N666" s="444"/>
      <c r="O666" s="45"/>
      <c r="P666" s="45"/>
      <c r="Q666" s="444"/>
      <c r="R666" s="45"/>
      <c r="S666" s="444"/>
      <c r="T666" s="45"/>
      <c r="U666" s="45"/>
    </row>
    <row r="667" spans="1:21" ht="18.75" hidden="1" x14ac:dyDescent="0.25">
      <c r="A667" s="224"/>
      <c r="B667" s="159"/>
      <c r="C667" s="159"/>
      <c r="D667" s="199"/>
      <c r="E667" s="199"/>
      <c r="F667" s="199"/>
      <c r="G667" s="42"/>
      <c r="H667" s="137" t="s">
        <v>34</v>
      </c>
      <c r="I667" s="193"/>
      <c r="J667" s="168">
        <v>0</v>
      </c>
      <c r="K667" s="45"/>
      <c r="L667" s="750"/>
      <c r="M667" s="45"/>
      <c r="N667" s="444"/>
      <c r="O667" s="45"/>
      <c r="P667" s="45"/>
      <c r="Q667" s="444"/>
      <c r="R667" s="45"/>
      <c r="S667" s="444"/>
      <c r="T667" s="45"/>
      <c r="U667" s="45"/>
    </row>
    <row r="668" spans="1:21" ht="18.75" hidden="1" x14ac:dyDescent="0.25">
      <c r="A668" s="224"/>
      <c r="B668" s="159"/>
      <c r="C668" s="159"/>
      <c r="D668" s="199"/>
      <c r="E668" s="199"/>
      <c r="F668" s="199"/>
      <c r="G668" s="42"/>
      <c r="H668" s="137" t="s">
        <v>46</v>
      </c>
      <c r="I668" s="193"/>
      <c r="J668" s="168">
        <v>0</v>
      </c>
      <c r="K668" s="45"/>
      <c r="L668" s="750"/>
      <c r="M668" s="45"/>
      <c r="N668" s="444"/>
      <c r="O668" s="45"/>
      <c r="P668" s="45"/>
      <c r="Q668" s="444"/>
      <c r="R668" s="45"/>
      <c r="S668" s="444"/>
      <c r="T668" s="45"/>
      <c r="U668" s="45"/>
    </row>
    <row r="669" spans="1:21" ht="18.75" hidden="1" x14ac:dyDescent="0.25">
      <c r="A669" s="224"/>
      <c r="B669" s="159"/>
      <c r="C669" s="159"/>
      <c r="D669" s="199"/>
      <c r="E669" s="199"/>
      <c r="F669" s="270" t="s">
        <v>246</v>
      </c>
      <c r="G669" s="42"/>
      <c r="H669" s="137" t="s">
        <v>35</v>
      </c>
      <c r="I669" s="193"/>
      <c r="J669" s="168">
        <v>0</v>
      </c>
      <c r="K669" s="45"/>
      <c r="L669" s="750"/>
      <c r="M669" s="45"/>
      <c r="N669" s="444"/>
      <c r="O669" s="45"/>
      <c r="P669" s="45"/>
      <c r="Q669" s="444"/>
      <c r="R669" s="45"/>
      <c r="S669" s="444"/>
      <c r="T669" s="45"/>
      <c r="U669" s="45"/>
    </row>
    <row r="670" spans="1:21" ht="18.75" hidden="1" x14ac:dyDescent="0.25">
      <c r="A670" s="224"/>
      <c r="B670" s="159"/>
      <c r="C670" s="159"/>
      <c r="D670" s="199"/>
      <c r="E670" s="199"/>
      <c r="F670" s="199"/>
      <c r="G670" s="42"/>
      <c r="H670" s="137" t="s">
        <v>34</v>
      </c>
      <c r="I670" s="193"/>
      <c r="J670" s="168">
        <v>0</v>
      </c>
      <c r="K670" s="45"/>
      <c r="L670" s="750"/>
      <c r="M670" s="45"/>
      <c r="N670" s="444"/>
      <c r="O670" s="45"/>
      <c r="P670" s="45"/>
      <c r="Q670" s="444"/>
      <c r="R670" s="45"/>
      <c r="S670" s="444"/>
      <c r="T670" s="45"/>
      <c r="U670" s="45"/>
    </row>
    <row r="671" spans="1:21" ht="18.75" hidden="1" x14ac:dyDescent="0.25">
      <c r="A671" s="224"/>
      <c r="B671" s="159"/>
      <c r="C671" s="159"/>
      <c r="D671" s="199"/>
      <c r="E671" s="199"/>
      <c r="F671" s="199"/>
      <c r="G671" s="42"/>
      <c r="H671" s="137" t="s">
        <v>46</v>
      </c>
      <c r="I671" s="193"/>
      <c r="J671" s="168">
        <v>0</v>
      </c>
      <c r="K671" s="45"/>
      <c r="L671" s="750"/>
      <c r="M671" s="45"/>
      <c r="N671" s="444"/>
      <c r="O671" s="45"/>
      <c r="P671" s="45"/>
      <c r="Q671" s="444"/>
      <c r="R671" s="45"/>
      <c r="S671" s="444"/>
      <c r="T671" s="45"/>
      <c r="U671" s="45"/>
    </row>
    <row r="672" spans="1:21" ht="18.75" hidden="1" x14ac:dyDescent="0.25">
      <c r="A672" s="224"/>
      <c r="B672" s="159"/>
      <c r="C672" s="159"/>
      <c r="D672" s="270" t="s">
        <v>247</v>
      </c>
      <c r="E672" s="199"/>
      <c r="F672" s="199"/>
      <c r="G672" s="42"/>
      <c r="H672" s="137" t="s">
        <v>35</v>
      </c>
      <c r="I672" s="193"/>
      <c r="J672" s="152">
        <f ca="1">IFERROR(__xludf.DUMMYFUNCTION("IMPORTRANGE(""https://docs.google.com/spreadsheets/d/1tdoBKaGub7dwA3U6UFTqxio9LNnvDCQjHKmttSEBsFQ/edit?usp=sharing"",""จัดที่ดิน!AY82"")"),0)</f>
        <v>0</v>
      </c>
      <c r="K672" s="45"/>
      <c r="L672" s="522"/>
      <c r="M672" s="45"/>
      <c r="N672" s="444"/>
      <c r="O672" s="45"/>
      <c r="P672" s="45"/>
      <c r="Q672" s="45"/>
      <c r="R672" s="45"/>
      <c r="S672" s="444"/>
      <c r="T672" s="45"/>
      <c r="U672" s="45"/>
    </row>
    <row r="673" spans="1:21" ht="18.75" hidden="1" x14ac:dyDescent="0.25">
      <c r="A673" s="224"/>
      <c r="B673" s="159"/>
      <c r="C673" s="159"/>
      <c r="D673" s="199"/>
      <c r="E673" s="199"/>
      <c r="F673" s="199"/>
      <c r="G673" s="42"/>
      <c r="H673" s="137" t="s">
        <v>34</v>
      </c>
      <c r="I673" s="193"/>
      <c r="J673" s="152">
        <f ca="1">IFERROR(__xludf.DUMMYFUNCTION("IMPORTRANGE(""https://docs.google.com/spreadsheets/d/1tdoBKaGub7dwA3U6UFTqxio9LNnvDCQjHKmttSEBsFQ/edit?usp=sharing"",""จัดที่ดิน!AZ82"")"),0)</f>
        <v>0</v>
      </c>
      <c r="K673" s="45"/>
      <c r="L673" s="750"/>
      <c r="M673" s="45"/>
      <c r="N673" s="444"/>
      <c r="O673" s="45"/>
      <c r="P673" s="45"/>
      <c r="Q673" s="444"/>
      <c r="R673" s="45"/>
      <c r="S673" s="444"/>
      <c r="T673" s="45"/>
      <c r="U673" s="45"/>
    </row>
    <row r="674" spans="1:21" ht="18.75" hidden="1" x14ac:dyDescent="0.25">
      <c r="A674" s="224"/>
      <c r="B674" s="159"/>
      <c r="C674" s="159"/>
      <c r="D674" s="199"/>
      <c r="E674" s="199"/>
      <c r="F674" s="199"/>
      <c r="G674" s="42"/>
      <c r="H674" s="137" t="s">
        <v>46</v>
      </c>
      <c r="I674" s="442">
        <f ca="1">IFERROR(__xludf.DUMMYFUNCTION("IMPORTRANGE(""https://docs.google.com/spreadsheets/d/1eHaY18a8A9IcSdp1K8H6x8fbOy06t2VsZHhMHf-1x7Y/edit?usp=sharing"",""แผน!IL82"")"),0)</f>
        <v>0</v>
      </c>
      <c r="J674" s="152">
        <f ca="1">IFERROR(__xludf.DUMMYFUNCTION("IMPORTRANGE(""https://docs.google.com/spreadsheets/d/1tdoBKaGub7dwA3U6UFTqxio9LNnvDCQjHKmttSEBsFQ/edit?usp=sharing"",""จัดที่ดิน!BA82"")"),0)</f>
        <v>0</v>
      </c>
      <c r="K674" s="46">
        <f t="shared" ref="K674:K677" ca="1" si="408">IF(I674&gt;0,J674*100/I674,0)</f>
        <v>0</v>
      </c>
      <c r="L674" s="750"/>
      <c r="M674" s="45"/>
      <c r="N674" s="444"/>
      <c r="O674" s="45"/>
      <c r="P674" s="45"/>
      <c r="Q674" s="444"/>
      <c r="R674" s="45"/>
      <c r="S674" s="444"/>
      <c r="T674" s="45"/>
      <c r="U674" s="45"/>
    </row>
    <row r="675" spans="1:21" ht="19.5" hidden="1" x14ac:dyDescent="0.3">
      <c r="A675" s="224"/>
      <c r="B675" s="159"/>
      <c r="C675" s="159"/>
      <c r="D675" s="270" t="s">
        <v>248</v>
      </c>
      <c r="E675" s="199"/>
      <c r="F675" s="199"/>
      <c r="G675" s="42"/>
      <c r="H675" s="437" t="s">
        <v>35</v>
      </c>
      <c r="I675" s="443">
        <f ca="1">IFERROR(__xludf.DUMMYFUNCTION("IMPORTRANGE(""https://docs.google.com/spreadsheets/d/1eHaY18a8A9IcSdp1K8H6x8fbOy06t2VsZHhMHf-1x7Y/edit?usp=sharing"",""แผน!IM82"")"),0)</f>
        <v>0</v>
      </c>
      <c r="J675" s="147">
        <f ca="1">J677+J680</f>
        <v>0</v>
      </c>
      <c r="K675" s="132">
        <f t="shared" ca="1" si="408"/>
        <v>0</v>
      </c>
      <c r="L675" s="750"/>
      <c r="M675" s="45"/>
      <c r="N675" s="444"/>
      <c r="O675" s="45"/>
      <c r="P675" s="45"/>
      <c r="Q675" s="444"/>
      <c r="R675" s="45"/>
      <c r="S675" s="444"/>
      <c r="T675" s="45"/>
      <c r="U675" s="45"/>
    </row>
    <row r="676" spans="1:21" ht="19.5" hidden="1" x14ac:dyDescent="0.3">
      <c r="A676" s="224"/>
      <c r="B676" s="159"/>
      <c r="C676" s="159"/>
      <c r="D676" s="199"/>
      <c r="E676" s="199"/>
      <c r="F676" s="199"/>
      <c r="G676" s="42"/>
      <c r="H676" s="437" t="s">
        <v>46</v>
      </c>
      <c r="I676" s="443">
        <f ca="1">IFERROR(__xludf.DUMMYFUNCTION("IMPORTRANGE(""https://docs.google.com/spreadsheets/d/1eHaY18a8A9IcSdp1K8H6x8fbOy06t2VsZHhMHf-1x7Y/edit?usp=sharing"",""แผน!IN82"")"),0)</f>
        <v>0</v>
      </c>
      <c r="J676" s="147">
        <f ca="1">J679+J682</f>
        <v>0</v>
      </c>
      <c r="K676" s="132">
        <f t="shared" ca="1" si="408"/>
        <v>0</v>
      </c>
      <c r="L676" s="522"/>
      <c r="M676" s="45"/>
      <c r="N676" s="444"/>
      <c r="O676" s="45"/>
      <c r="P676" s="45"/>
      <c r="Q676" s="45"/>
      <c r="R676" s="45"/>
      <c r="S676" s="444"/>
      <c r="T676" s="45"/>
      <c r="U676" s="45"/>
    </row>
    <row r="677" spans="1:21" ht="18.75" hidden="1" x14ac:dyDescent="0.25">
      <c r="A677" s="224"/>
      <c r="B677" s="159"/>
      <c r="C677" s="159"/>
      <c r="D677" s="199"/>
      <c r="E677" s="270" t="s">
        <v>249</v>
      </c>
      <c r="F677" s="199"/>
      <c r="G677" s="42"/>
      <c r="H677" s="137" t="s">
        <v>35</v>
      </c>
      <c r="I677" s="442">
        <f ca="1">IFERROR(__xludf.DUMMYFUNCTION("IMPORTRANGE(""https://docs.google.com/spreadsheets/d/1eHaY18a8A9IcSdp1K8H6x8fbOy06t2VsZHhMHf-1x7Y/edit?usp=sharing"",""แผน!IO82"")"),0)</f>
        <v>0</v>
      </c>
      <c r="J677" s="152">
        <f ca="1">IFERROR(__xludf.DUMMYFUNCTION("IMPORTRANGE(""https://docs.google.com/spreadsheets/d/1tdoBKaGub7dwA3U6UFTqxio9LNnvDCQjHKmttSEBsFQ/edit?usp=sharing"",""จัดที่ดิน!BF82"")"),0)</f>
        <v>0</v>
      </c>
      <c r="K677" s="46">
        <f t="shared" ca="1" si="408"/>
        <v>0</v>
      </c>
      <c r="L677" s="522"/>
      <c r="M677" s="45"/>
      <c r="N677" s="444"/>
      <c r="O677" s="45"/>
      <c r="P677" s="45"/>
      <c r="Q677" s="45"/>
      <c r="R677" s="45"/>
      <c r="S677" s="444"/>
      <c r="T677" s="45"/>
      <c r="U677" s="45"/>
    </row>
    <row r="678" spans="1:21" ht="18.75" hidden="1" x14ac:dyDescent="0.25">
      <c r="A678" s="224"/>
      <c r="B678" s="159"/>
      <c r="C678" s="159"/>
      <c r="D678" s="199"/>
      <c r="E678" s="199"/>
      <c r="F678" s="199"/>
      <c r="G678" s="42"/>
      <c r="H678" s="137" t="s">
        <v>34</v>
      </c>
      <c r="I678" s="193"/>
      <c r="J678" s="152">
        <f ca="1">IFERROR(__xludf.DUMMYFUNCTION("IMPORTRANGE(""https://docs.google.com/spreadsheets/d/1tdoBKaGub7dwA3U6UFTqxio9LNnvDCQjHKmttSEBsFQ/edit?usp=sharing"",""จัดที่ดิน!BG82"")"),0)</f>
        <v>0</v>
      </c>
      <c r="K678" s="45"/>
      <c r="L678" s="750"/>
      <c r="M678" s="45"/>
      <c r="N678" s="444"/>
      <c r="O678" s="45"/>
      <c r="P678" s="45"/>
      <c r="Q678" s="444"/>
      <c r="R678" s="45"/>
      <c r="S678" s="444"/>
      <c r="T678" s="45"/>
      <c r="U678" s="45"/>
    </row>
    <row r="679" spans="1:21" ht="18.75" hidden="1" x14ac:dyDescent="0.25">
      <c r="A679" s="224"/>
      <c r="B679" s="159"/>
      <c r="C679" s="159"/>
      <c r="D679" s="199"/>
      <c r="E679" s="199"/>
      <c r="F679" s="199"/>
      <c r="G679" s="42"/>
      <c r="H679" s="137" t="s">
        <v>46</v>
      </c>
      <c r="I679" s="442">
        <f ca="1">IFERROR(__xludf.DUMMYFUNCTION("IMPORTRANGE(""https://docs.google.com/spreadsheets/d/1eHaY18a8A9IcSdp1K8H6x8fbOy06t2VsZHhMHf-1x7Y/edit?usp=sharing"",""แผน!IP82"")"),0)</f>
        <v>0</v>
      </c>
      <c r="J679" s="152">
        <f ca="1">IFERROR(__xludf.DUMMYFUNCTION("IMPORTRANGE(""https://docs.google.com/spreadsheets/d/1tdoBKaGub7dwA3U6UFTqxio9LNnvDCQjHKmttSEBsFQ/edit?usp=sharing"",""จัดที่ดิน!BH82"")"),0)</f>
        <v>0</v>
      </c>
      <c r="K679" s="46">
        <f t="shared" ref="K679:K680" ca="1" si="409">IF(I679&gt;0,J679*100/I679,0)</f>
        <v>0</v>
      </c>
      <c r="L679" s="750"/>
      <c r="M679" s="45"/>
      <c r="N679" s="444"/>
      <c r="O679" s="45"/>
      <c r="P679" s="45"/>
      <c r="Q679" s="444"/>
      <c r="R679" s="45"/>
      <c r="S679" s="444"/>
      <c r="T679" s="45"/>
      <c r="U679" s="45"/>
    </row>
    <row r="680" spans="1:21" ht="18.75" hidden="1" x14ac:dyDescent="0.25">
      <c r="A680" s="224"/>
      <c r="B680" s="159"/>
      <c r="C680" s="159"/>
      <c r="D680" s="199"/>
      <c r="E680" s="270" t="s">
        <v>250</v>
      </c>
      <c r="F680" s="199"/>
      <c r="G680" s="42"/>
      <c r="H680" s="137" t="s">
        <v>35</v>
      </c>
      <c r="I680" s="442">
        <f ca="1">IFERROR(__xludf.DUMMYFUNCTION("IMPORTRANGE(""https://docs.google.com/spreadsheets/d/1eHaY18a8A9IcSdp1K8H6x8fbOy06t2VsZHhMHf-1x7Y/edit?usp=sharing"",""แผน!IQ82"")"),0)</f>
        <v>0</v>
      </c>
      <c r="J680" s="152">
        <f ca="1">IFERROR(__xludf.DUMMYFUNCTION("IMPORTRANGE(""https://docs.google.com/spreadsheets/d/1tdoBKaGub7dwA3U6UFTqxio9LNnvDCQjHKmttSEBsFQ/edit?usp=sharing"",""จัดที่ดิน!BK82"")"),0)</f>
        <v>0</v>
      </c>
      <c r="K680" s="46">
        <f t="shared" ca="1" si="409"/>
        <v>0</v>
      </c>
      <c r="L680" s="522"/>
      <c r="M680" s="45"/>
      <c r="N680" s="444"/>
      <c r="O680" s="45"/>
      <c r="P680" s="45"/>
      <c r="Q680" s="45"/>
      <c r="R680" s="45"/>
      <c r="S680" s="444"/>
      <c r="T680" s="45"/>
      <c r="U680" s="45"/>
    </row>
    <row r="681" spans="1:21" ht="18.75" hidden="1" x14ac:dyDescent="0.25">
      <c r="A681" s="224"/>
      <c r="B681" s="159"/>
      <c r="C681" s="159"/>
      <c r="D681" s="199"/>
      <c r="E681" s="199"/>
      <c r="F681" s="199"/>
      <c r="G681" s="42"/>
      <c r="H681" s="137" t="s">
        <v>34</v>
      </c>
      <c r="I681" s="193"/>
      <c r="J681" s="152">
        <f ca="1">IFERROR(__xludf.DUMMYFUNCTION("IMPORTRANGE(""https://docs.google.com/spreadsheets/d/1tdoBKaGub7dwA3U6UFTqxio9LNnvDCQjHKmttSEBsFQ/edit?usp=sharing"",""จัดที่ดิน!BL82"")"),0)</f>
        <v>0</v>
      </c>
      <c r="K681" s="45"/>
      <c r="L681" s="750"/>
      <c r="M681" s="45"/>
      <c r="N681" s="444"/>
      <c r="O681" s="45"/>
      <c r="P681" s="45"/>
      <c r="Q681" s="444"/>
      <c r="R681" s="45"/>
      <c r="S681" s="444"/>
      <c r="T681" s="45"/>
      <c r="U681" s="45"/>
    </row>
    <row r="682" spans="1:21" ht="18.75" hidden="1" x14ac:dyDescent="0.25">
      <c r="A682" s="224"/>
      <c r="B682" s="159"/>
      <c r="C682" s="159"/>
      <c r="D682" s="199"/>
      <c r="E682" s="199"/>
      <c r="F682" s="199"/>
      <c r="G682" s="42"/>
      <c r="H682" s="137" t="s">
        <v>46</v>
      </c>
      <c r="I682" s="442">
        <f ca="1">IFERROR(__xludf.DUMMYFUNCTION("IMPORTRANGE(""https://docs.google.com/spreadsheets/d/1eHaY18a8A9IcSdp1K8H6x8fbOy06t2VsZHhMHf-1x7Y/edit?usp=sharing"",""แผน!IR82"")"),0)</f>
        <v>0</v>
      </c>
      <c r="J682" s="152">
        <f ca="1">IFERROR(__xludf.DUMMYFUNCTION("IMPORTRANGE(""https://docs.google.com/spreadsheets/d/1tdoBKaGub7dwA3U6UFTqxio9LNnvDCQjHKmttSEBsFQ/edit?usp=sharing"",""จัดที่ดิน!BM82"")"),0)</f>
        <v>0</v>
      </c>
      <c r="K682" s="46">
        <f t="shared" ref="K682:K683" ca="1" si="410">IF(I682&gt;0,J682*100/I682,0)</f>
        <v>0</v>
      </c>
      <c r="L682" s="750"/>
      <c r="M682" s="45"/>
      <c r="N682" s="444"/>
      <c r="O682" s="45"/>
      <c r="P682" s="45"/>
      <c r="Q682" s="444"/>
      <c r="R682" s="45"/>
      <c r="S682" s="444"/>
      <c r="T682" s="45"/>
      <c r="U682" s="45"/>
    </row>
    <row r="683" spans="1:21" ht="19.5" hidden="1" x14ac:dyDescent="0.3">
      <c r="A683" s="224"/>
      <c r="B683" s="159"/>
      <c r="C683" s="159"/>
      <c r="D683" s="270" t="s">
        <v>251</v>
      </c>
      <c r="E683" s="199"/>
      <c r="F683" s="199"/>
      <c r="G683" s="42"/>
      <c r="H683" s="437" t="s">
        <v>46</v>
      </c>
      <c r="I683" s="443">
        <f ca="1">IFERROR(__xludf.DUMMYFUNCTION("IMPORTRANGE(""https://docs.google.com/spreadsheets/d/1eHaY18a8A9IcSdp1K8H6x8fbOy06t2VsZHhMHf-1x7Y/edit?usp=sharing"",""แผน!IS82"")"),0)</f>
        <v>0</v>
      </c>
      <c r="J683" s="147">
        <f>J686+J689</f>
        <v>0</v>
      </c>
      <c r="K683" s="132">
        <f t="shared" ca="1" si="410"/>
        <v>0</v>
      </c>
      <c r="L683" s="522"/>
      <c r="M683" s="45"/>
      <c r="N683" s="444"/>
      <c r="O683" s="45"/>
      <c r="P683" s="45"/>
      <c r="Q683" s="45"/>
      <c r="R683" s="45"/>
      <c r="S683" s="444"/>
      <c r="T683" s="45"/>
      <c r="U683" s="45"/>
    </row>
    <row r="684" spans="1:21" ht="18.75" hidden="1" x14ac:dyDescent="0.25">
      <c r="A684" s="224"/>
      <c r="B684" s="159"/>
      <c r="C684" s="159"/>
      <c r="D684" s="199"/>
      <c r="E684" s="270" t="s">
        <v>252</v>
      </c>
      <c r="F684" s="199"/>
      <c r="G684" s="42"/>
      <c r="H684" s="137" t="s">
        <v>35</v>
      </c>
      <c r="I684" s="193"/>
      <c r="J684" s="168">
        <v>0</v>
      </c>
      <c r="K684" s="45"/>
      <c r="L684" s="750"/>
      <c r="M684" s="45"/>
      <c r="N684" s="444"/>
      <c r="O684" s="45"/>
      <c r="P684" s="45"/>
      <c r="Q684" s="444"/>
      <c r="R684" s="45"/>
      <c r="S684" s="444"/>
      <c r="T684" s="45"/>
      <c r="U684" s="45"/>
    </row>
    <row r="685" spans="1:21" ht="18.75" hidden="1" x14ac:dyDescent="0.25">
      <c r="A685" s="224"/>
      <c r="B685" s="159"/>
      <c r="C685" s="159"/>
      <c r="D685" s="199"/>
      <c r="E685" s="199"/>
      <c r="F685" s="199"/>
      <c r="G685" s="42"/>
      <c r="H685" s="137" t="s">
        <v>34</v>
      </c>
      <c r="I685" s="193"/>
      <c r="J685" s="168">
        <v>0</v>
      </c>
      <c r="K685" s="45"/>
      <c r="L685" s="750"/>
      <c r="M685" s="45"/>
      <c r="N685" s="444"/>
      <c r="O685" s="45"/>
      <c r="P685" s="45"/>
      <c r="Q685" s="444"/>
      <c r="R685" s="45"/>
      <c r="S685" s="444"/>
      <c r="T685" s="45"/>
      <c r="U685" s="45"/>
    </row>
    <row r="686" spans="1:21" ht="18.75" hidden="1" x14ac:dyDescent="0.25">
      <c r="A686" s="224"/>
      <c r="B686" s="159"/>
      <c r="C686" s="159"/>
      <c r="D686" s="199"/>
      <c r="E686" s="199"/>
      <c r="F686" s="199"/>
      <c r="G686" s="42"/>
      <c r="H686" s="137" t="s">
        <v>46</v>
      </c>
      <c r="I686" s="193"/>
      <c r="J686" s="168">
        <v>0</v>
      </c>
      <c r="K686" s="45"/>
      <c r="L686" s="750"/>
      <c r="M686" s="45"/>
      <c r="N686" s="444"/>
      <c r="O686" s="45"/>
      <c r="P686" s="45"/>
      <c r="Q686" s="444"/>
      <c r="R686" s="45"/>
      <c r="S686" s="444"/>
      <c r="T686" s="45"/>
      <c r="U686" s="45"/>
    </row>
    <row r="687" spans="1:21" ht="18.75" hidden="1" x14ac:dyDescent="0.25">
      <c r="A687" s="224"/>
      <c r="B687" s="159"/>
      <c r="C687" s="159"/>
      <c r="D687" s="199"/>
      <c r="E687" s="270" t="s">
        <v>253</v>
      </c>
      <c r="F687" s="199"/>
      <c r="G687" s="42"/>
      <c r="H687" s="137" t="s">
        <v>35</v>
      </c>
      <c r="I687" s="193"/>
      <c r="J687" s="168">
        <v>0</v>
      </c>
      <c r="K687" s="45"/>
      <c r="L687" s="750"/>
      <c r="M687" s="45"/>
      <c r="N687" s="444"/>
      <c r="O687" s="45"/>
      <c r="P687" s="45"/>
      <c r="Q687" s="444"/>
      <c r="R687" s="45"/>
      <c r="S687" s="444"/>
      <c r="T687" s="45"/>
      <c r="U687" s="45"/>
    </row>
    <row r="688" spans="1:21" ht="18.75" hidden="1" x14ac:dyDescent="0.25">
      <c r="A688" s="224"/>
      <c r="B688" s="159"/>
      <c r="C688" s="159"/>
      <c r="D688" s="199"/>
      <c r="E688" s="199"/>
      <c r="F688" s="199"/>
      <c r="G688" s="42"/>
      <c r="H688" s="137" t="s">
        <v>34</v>
      </c>
      <c r="I688" s="193"/>
      <c r="J688" s="168">
        <v>0</v>
      </c>
      <c r="K688" s="45"/>
      <c r="L688" s="750"/>
      <c r="M688" s="45"/>
      <c r="N688" s="444"/>
      <c r="O688" s="45"/>
      <c r="P688" s="45"/>
      <c r="Q688" s="444"/>
      <c r="R688" s="45"/>
      <c r="S688" s="444"/>
      <c r="T688" s="45"/>
      <c r="U688" s="45"/>
    </row>
    <row r="689" spans="1:21" ht="19.5" hidden="1" x14ac:dyDescent="0.3">
      <c r="A689" s="273"/>
      <c r="B689" s="445" t="s">
        <v>254</v>
      </c>
      <c r="C689" s="274"/>
      <c r="D689" s="276"/>
      <c r="E689" s="276"/>
      <c r="F689" s="276"/>
      <c r="G689" s="277"/>
      <c r="H689" s="203" t="s">
        <v>46</v>
      </c>
      <c r="I689" s="356"/>
      <c r="J689" s="360">
        <v>0</v>
      </c>
      <c r="K689" s="5"/>
      <c r="L689" s="751"/>
      <c r="M689" s="5"/>
      <c r="N689" s="446"/>
      <c r="O689" s="5"/>
      <c r="P689" s="5"/>
      <c r="Q689" s="446"/>
      <c r="R689" s="5"/>
      <c r="S689" s="446"/>
      <c r="T689" s="5"/>
      <c r="U689" s="5"/>
    </row>
    <row r="690" spans="1:21" ht="19.5" x14ac:dyDescent="0.3">
      <c r="A690" s="420"/>
      <c r="B690" s="421" t="s">
        <v>255</v>
      </c>
      <c r="C690" s="420"/>
      <c r="D690" s="422"/>
      <c r="E690" s="422"/>
      <c r="F690" s="422"/>
      <c r="G690" s="423"/>
      <c r="H690" s="752" t="s">
        <v>35</v>
      </c>
      <c r="I690" s="753">
        <f t="shared" ref="I690:J690" ca="1" si="411">I708</f>
        <v>0</v>
      </c>
      <c r="J690" s="753">
        <f t="shared" ca="1" si="411"/>
        <v>0</v>
      </c>
      <c r="K690" s="449">
        <f ca="1">IF(I690&gt;0,J690*100/I690,0)</f>
        <v>0</v>
      </c>
      <c r="L690" s="745"/>
      <c r="M690" s="426"/>
      <c r="N690" s="426"/>
      <c r="O690" s="426"/>
      <c r="P690" s="426"/>
      <c r="Q690" s="426"/>
      <c r="R690" s="426"/>
      <c r="S690" s="426"/>
      <c r="T690" s="426"/>
      <c r="U690" s="426"/>
    </row>
    <row r="691" spans="1:21" ht="19.5" x14ac:dyDescent="0.3">
      <c r="A691" s="128"/>
      <c r="B691" s="159"/>
      <c r="C691" s="190" t="s">
        <v>18</v>
      </c>
      <c r="D691" s="747" t="s">
        <v>19</v>
      </c>
      <c r="E691" s="490"/>
      <c r="F691" s="490"/>
      <c r="G691" s="491"/>
      <c r="H691" s="239" t="s">
        <v>14</v>
      </c>
      <c r="I691" s="44"/>
      <c r="J691" s="44"/>
      <c r="K691" s="45"/>
      <c r="L691" s="545">
        <f t="shared" ref="L691:N691" si="412">L692+L693</f>
        <v>0</v>
      </c>
      <c r="M691" s="132">
        <f t="shared" si="412"/>
        <v>0</v>
      </c>
      <c r="N691" s="132">
        <f t="shared" si="412"/>
        <v>0</v>
      </c>
      <c r="O691" s="132">
        <f t="shared" ref="O691:O699" si="413">IF(L691&gt;0,N691*100/L691,0)</f>
        <v>0</v>
      </c>
      <c r="P691" s="132">
        <f t="shared" ref="P691:P699" si="414">IF(M691&gt;0,N691*100/M691,0)</f>
        <v>0</v>
      </c>
      <c r="Q691" s="132">
        <f t="shared" ref="Q691:S691" ca="1" si="415">Q692+Q693</f>
        <v>67330</v>
      </c>
      <c r="R691" s="132">
        <f t="shared" ca="1" si="415"/>
        <v>67330</v>
      </c>
      <c r="S691" s="132">
        <f t="shared" ca="1" si="415"/>
        <v>10538.83</v>
      </c>
      <c r="T691" s="132">
        <f t="shared" ref="T691:T699" ca="1" si="416">IF(Q691&gt;0,S691*100/Q691,0)</f>
        <v>15.652502599138572</v>
      </c>
      <c r="U691" s="132">
        <f t="shared" ref="U691:U699" ca="1" si="417">IF(R691&gt;0,S691*100/R691,0)</f>
        <v>15.652502599138572</v>
      </c>
    </row>
    <row r="692" spans="1:21" ht="18.75" hidden="1" x14ac:dyDescent="0.25">
      <c r="A692" s="128"/>
      <c r="B692" s="159"/>
      <c r="C692" s="159"/>
      <c r="D692" s="169"/>
      <c r="E692" s="157" t="s">
        <v>158</v>
      </c>
      <c r="F692" s="199"/>
      <c r="G692" s="42"/>
      <c r="H692" s="160" t="s">
        <v>14</v>
      </c>
      <c r="I692" s="44"/>
      <c r="J692" s="44"/>
      <c r="K692" s="45"/>
      <c r="L692" s="521">
        <f t="shared" ref="L692:N693" si="418">L695+L698</f>
        <v>0</v>
      </c>
      <c r="M692" s="48">
        <f t="shared" si="418"/>
        <v>0</v>
      </c>
      <c r="N692" s="48">
        <f t="shared" si="418"/>
        <v>0</v>
      </c>
      <c r="O692" s="48">
        <f t="shared" si="413"/>
        <v>0</v>
      </c>
      <c r="P692" s="48">
        <f t="shared" si="414"/>
        <v>0</v>
      </c>
      <c r="Q692" s="48">
        <f t="shared" ref="Q692:S693" si="419">Q695+Q698</f>
        <v>0</v>
      </c>
      <c r="R692" s="48">
        <f t="shared" si="419"/>
        <v>0</v>
      </c>
      <c r="S692" s="48">
        <f t="shared" si="419"/>
        <v>0</v>
      </c>
      <c r="T692" s="48">
        <f t="shared" si="416"/>
        <v>0</v>
      </c>
      <c r="U692" s="48">
        <f t="shared" si="417"/>
        <v>0</v>
      </c>
    </row>
    <row r="693" spans="1:21" ht="18.75" hidden="1" x14ac:dyDescent="0.25">
      <c r="A693" s="128"/>
      <c r="B693" s="159"/>
      <c r="C693" s="159"/>
      <c r="D693" s="169"/>
      <c r="E693" s="270" t="s">
        <v>159</v>
      </c>
      <c r="F693" s="199"/>
      <c r="G693" s="42"/>
      <c r="H693" s="134" t="s">
        <v>14</v>
      </c>
      <c r="I693" s="44"/>
      <c r="J693" s="44"/>
      <c r="K693" s="45"/>
      <c r="L693" s="519">
        <f t="shared" si="418"/>
        <v>0</v>
      </c>
      <c r="M693" s="46">
        <f t="shared" si="418"/>
        <v>0</v>
      </c>
      <c r="N693" s="46">
        <f t="shared" si="418"/>
        <v>0</v>
      </c>
      <c r="O693" s="46">
        <f t="shared" si="413"/>
        <v>0</v>
      </c>
      <c r="P693" s="46">
        <f t="shared" si="414"/>
        <v>0</v>
      </c>
      <c r="Q693" s="46">
        <f t="shared" ca="1" si="419"/>
        <v>67330</v>
      </c>
      <c r="R693" s="46">
        <f t="shared" ca="1" si="419"/>
        <v>67330</v>
      </c>
      <c r="S693" s="46">
        <f t="shared" ca="1" si="419"/>
        <v>10538.83</v>
      </c>
      <c r="T693" s="46">
        <f t="shared" ca="1" si="416"/>
        <v>15.652502599138572</v>
      </c>
      <c r="U693" s="46">
        <f t="shared" ca="1" si="417"/>
        <v>15.652502599138572</v>
      </c>
    </row>
    <row r="694" spans="1:21" ht="18.75" x14ac:dyDescent="0.25">
      <c r="A694" s="128"/>
      <c r="B694" s="159"/>
      <c r="C694" s="159"/>
      <c r="D694" s="41" t="s">
        <v>22</v>
      </c>
      <c r="E694" s="199"/>
      <c r="F694" s="199"/>
      <c r="G694" s="42"/>
      <c r="H694" s="134" t="s">
        <v>14</v>
      </c>
      <c r="I694" s="135"/>
      <c r="J694" s="135"/>
      <c r="K694" s="136"/>
      <c r="L694" s="519">
        <f t="shared" ref="L694:N694" si="420">L695+L696</f>
        <v>0</v>
      </c>
      <c r="M694" s="46">
        <f t="shared" si="420"/>
        <v>0</v>
      </c>
      <c r="N694" s="46">
        <f t="shared" si="420"/>
        <v>0</v>
      </c>
      <c r="O694" s="46">
        <f t="shared" si="413"/>
        <v>0</v>
      </c>
      <c r="P694" s="46">
        <f t="shared" si="414"/>
        <v>0</v>
      </c>
      <c r="Q694" s="46">
        <f t="shared" ref="Q694:S694" ca="1" si="421">Q695+Q696</f>
        <v>67330</v>
      </c>
      <c r="R694" s="46">
        <f t="shared" ca="1" si="421"/>
        <v>67330</v>
      </c>
      <c r="S694" s="46">
        <f t="shared" ca="1" si="421"/>
        <v>10538.83</v>
      </c>
      <c r="T694" s="46">
        <f t="shared" ca="1" si="416"/>
        <v>15.652502599138572</v>
      </c>
      <c r="U694" s="46">
        <f t="shared" ca="1" si="417"/>
        <v>15.652502599138572</v>
      </c>
    </row>
    <row r="695" spans="1:21" ht="18.75" hidden="1" x14ac:dyDescent="0.25">
      <c r="A695" s="128"/>
      <c r="B695" s="159"/>
      <c r="C695" s="159"/>
      <c r="D695" s="169"/>
      <c r="E695" s="157" t="s">
        <v>158</v>
      </c>
      <c r="F695" s="199"/>
      <c r="G695" s="42"/>
      <c r="H695" s="160" t="s">
        <v>14</v>
      </c>
      <c r="I695" s="44"/>
      <c r="J695" s="44"/>
      <c r="K695" s="45"/>
      <c r="L695" s="521">
        <v>0</v>
      </c>
      <c r="M695" s="48">
        <v>0</v>
      </c>
      <c r="N695" s="48">
        <v>0</v>
      </c>
      <c r="O695" s="48">
        <f t="shared" si="413"/>
        <v>0</v>
      </c>
      <c r="P695" s="48">
        <f t="shared" si="414"/>
        <v>0</v>
      </c>
      <c r="Q695" s="48">
        <v>0</v>
      </c>
      <c r="R695" s="48">
        <v>0</v>
      </c>
      <c r="S695" s="48">
        <v>0</v>
      </c>
      <c r="T695" s="48">
        <f t="shared" si="416"/>
        <v>0</v>
      </c>
      <c r="U695" s="48">
        <f t="shared" si="417"/>
        <v>0</v>
      </c>
    </row>
    <row r="696" spans="1:21" ht="18.75" hidden="1" x14ac:dyDescent="0.25">
      <c r="A696" s="128"/>
      <c r="B696" s="159"/>
      <c r="C696" s="159"/>
      <c r="D696" s="169"/>
      <c r="E696" s="270" t="s">
        <v>159</v>
      </c>
      <c r="F696" s="199"/>
      <c r="G696" s="42"/>
      <c r="H696" s="134" t="s">
        <v>14</v>
      </c>
      <c r="I696" s="44"/>
      <c r="J696" s="44"/>
      <c r="K696" s="45"/>
      <c r="L696" s="519">
        <v>0</v>
      </c>
      <c r="M696" s="46">
        <v>0</v>
      </c>
      <c r="N696" s="46">
        <v>0</v>
      </c>
      <c r="O696" s="46">
        <f t="shared" si="413"/>
        <v>0</v>
      </c>
      <c r="P696" s="46">
        <f t="shared" si="414"/>
        <v>0</v>
      </c>
      <c r="Q696" s="46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6" s="46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6" s="46">
        <f ca="1">IFERROR(__xludf.DUMMYFUNCTION("IMPORTRANGE(""https://docs.google.com/spreadsheets/d/1ItG2mGa2ceCfYo0BwxsXqNm01IGEUdYcSSLTEv9YCik/edit?usp=sharing"",""เบิกจ่ายกองทุน!N82"")"),10538.83)</f>
        <v>10538.83</v>
      </c>
      <c r="T696" s="46">
        <f t="shared" ca="1" si="416"/>
        <v>15.652502599138572</v>
      </c>
      <c r="U696" s="46">
        <f t="shared" ca="1" si="417"/>
        <v>15.652502599138572</v>
      </c>
    </row>
    <row r="697" spans="1:21" ht="18.75" x14ac:dyDescent="0.25">
      <c r="A697" s="128"/>
      <c r="B697" s="159"/>
      <c r="C697" s="159"/>
      <c r="D697" s="41" t="s">
        <v>23</v>
      </c>
      <c r="E697" s="199"/>
      <c r="F697" s="199"/>
      <c r="G697" s="42"/>
      <c r="H697" s="137" t="s">
        <v>14</v>
      </c>
      <c r="I697" s="135"/>
      <c r="J697" s="135"/>
      <c r="K697" s="136"/>
      <c r="L697" s="519">
        <f t="shared" ref="L697:N697" si="422">L698+L699</f>
        <v>0</v>
      </c>
      <c r="M697" s="46">
        <f t="shared" si="422"/>
        <v>0</v>
      </c>
      <c r="N697" s="46">
        <f t="shared" si="422"/>
        <v>0</v>
      </c>
      <c r="O697" s="46">
        <f t="shared" si="413"/>
        <v>0</v>
      </c>
      <c r="P697" s="46">
        <f t="shared" si="414"/>
        <v>0</v>
      </c>
      <c r="Q697" s="46">
        <f t="shared" ref="Q697:S697" si="423">Q698+Q699</f>
        <v>0</v>
      </c>
      <c r="R697" s="46">
        <f t="shared" si="423"/>
        <v>0</v>
      </c>
      <c r="S697" s="46">
        <f t="shared" si="423"/>
        <v>0</v>
      </c>
      <c r="T697" s="46">
        <f t="shared" si="416"/>
        <v>0</v>
      </c>
      <c r="U697" s="46">
        <f t="shared" si="417"/>
        <v>0</v>
      </c>
    </row>
    <row r="698" spans="1:21" ht="18.75" hidden="1" x14ac:dyDescent="0.25">
      <c r="A698" s="128"/>
      <c r="B698" s="159"/>
      <c r="C698" s="159"/>
      <c r="D698" s="199"/>
      <c r="E698" s="157" t="s">
        <v>20</v>
      </c>
      <c r="F698" s="199"/>
      <c r="G698" s="42"/>
      <c r="H698" s="160" t="s">
        <v>14</v>
      </c>
      <c r="I698" s="135"/>
      <c r="J698" s="135"/>
      <c r="K698" s="136"/>
      <c r="L698" s="521">
        <v>0</v>
      </c>
      <c r="M698" s="48">
        <v>0</v>
      </c>
      <c r="N698" s="48">
        <v>0</v>
      </c>
      <c r="O698" s="48">
        <f t="shared" si="413"/>
        <v>0</v>
      </c>
      <c r="P698" s="48">
        <f t="shared" si="414"/>
        <v>0</v>
      </c>
      <c r="Q698" s="48">
        <v>0</v>
      </c>
      <c r="R698" s="48">
        <v>0</v>
      </c>
      <c r="S698" s="48">
        <v>0</v>
      </c>
      <c r="T698" s="48">
        <f t="shared" si="416"/>
        <v>0</v>
      </c>
      <c r="U698" s="48">
        <f t="shared" si="417"/>
        <v>0</v>
      </c>
    </row>
    <row r="699" spans="1:21" ht="18.75" hidden="1" x14ac:dyDescent="0.25">
      <c r="A699" s="128"/>
      <c r="B699" s="159"/>
      <c r="C699" s="159"/>
      <c r="D699" s="199"/>
      <c r="E699" s="270" t="s">
        <v>21</v>
      </c>
      <c r="F699" s="199"/>
      <c r="G699" s="42"/>
      <c r="H699" s="137" t="s">
        <v>14</v>
      </c>
      <c r="I699" s="135"/>
      <c r="J699" s="135"/>
      <c r="K699" s="136"/>
      <c r="L699" s="519">
        <v>0</v>
      </c>
      <c r="M699" s="46">
        <v>0</v>
      </c>
      <c r="N699" s="46">
        <v>0</v>
      </c>
      <c r="O699" s="46">
        <f t="shared" si="413"/>
        <v>0</v>
      </c>
      <c r="P699" s="46">
        <f t="shared" si="414"/>
        <v>0</v>
      </c>
      <c r="Q699" s="46">
        <v>0</v>
      </c>
      <c r="R699" s="46">
        <v>0</v>
      </c>
      <c r="S699" s="46">
        <v>0</v>
      </c>
      <c r="T699" s="46">
        <f t="shared" si="416"/>
        <v>0</v>
      </c>
      <c r="U699" s="46">
        <f t="shared" si="417"/>
        <v>0</v>
      </c>
    </row>
    <row r="700" spans="1:21" ht="19.5" x14ac:dyDescent="0.3">
      <c r="A700" s="138"/>
      <c r="B700" s="139"/>
      <c r="C700" s="190" t="s">
        <v>18</v>
      </c>
      <c r="D700" s="546" t="s">
        <v>38</v>
      </c>
      <c r="E700" s="141"/>
      <c r="F700" s="141"/>
      <c r="G700" s="141"/>
      <c r="H700" s="191"/>
      <c r="I700" s="135"/>
      <c r="J700" s="135"/>
      <c r="K700" s="136"/>
      <c r="L700" s="522"/>
      <c r="M700" s="45"/>
      <c r="N700" s="45"/>
      <c r="O700" s="45"/>
      <c r="P700" s="45"/>
      <c r="Q700" s="45"/>
      <c r="R700" s="45"/>
      <c r="S700" s="45"/>
      <c r="T700" s="45"/>
      <c r="U700" s="45"/>
    </row>
    <row r="701" spans="1:21" ht="18.75" x14ac:dyDescent="0.25">
      <c r="A701" s="224"/>
      <c r="B701" s="159"/>
      <c r="C701" s="159"/>
      <c r="D701" s="169"/>
      <c r="E701" s="333" t="s">
        <v>256</v>
      </c>
      <c r="F701" s="169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IFERROR(__xludf.DUMMYFUNCTION("IMPORTRANGE(""https://docs.google.com/spreadsheets/d/1eHaY18a8A9IcSdp1K8H6x8fbOy06t2VsZHhMHf-1x7Y/edit?usp=sharing"",""แผน!LC82"")"),0)</f>
        <v>0</v>
      </c>
      <c r="J701" s="168">
        <v>0</v>
      </c>
      <c r="K701" s="153">
        <f t="shared" ref="K701:K711" ca="1" si="424">IF(I701&gt;0,J701*100/I701,0)</f>
        <v>0</v>
      </c>
      <c r="L701" s="547"/>
      <c r="M701" s="136"/>
      <c r="N701" s="45"/>
      <c r="O701" s="136"/>
      <c r="P701" s="136"/>
      <c r="Q701" s="136"/>
      <c r="R701" s="136"/>
      <c r="S701" s="45"/>
      <c r="T701" s="136"/>
      <c r="U701" s="136"/>
    </row>
    <row r="702" spans="1:21" ht="19.5" x14ac:dyDescent="0.3">
      <c r="A702" s="224"/>
      <c r="B702" s="159"/>
      <c r="C702" s="159"/>
      <c r="D702" s="169"/>
      <c r="E702" s="450" t="s">
        <v>258</v>
      </c>
      <c r="F702" s="169"/>
      <c r="G702" s="143"/>
      <c r="H702" s="131" t="s">
        <v>35</v>
      </c>
      <c r="I702" s="147">
        <f t="shared" ref="I702:J702" ca="1" si="425">I704+I706</f>
        <v>3</v>
      </c>
      <c r="J702" s="147">
        <f t="shared" ca="1" si="425"/>
        <v>0</v>
      </c>
      <c r="K702" s="132">
        <f t="shared" ca="1" si="424"/>
        <v>0</v>
      </c>
      <c r="L702" s="547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24"/>
      <c r="B703" s="159"/>
      <c r="C703" s="159"/>
      <c r="D703" s="169"/>
      <c r="E703" s="169"/>
      <c r="F703" s="169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24"/>
        <v>0</v>
      </c>
      <c r="L703" s="547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24"/>
      <c r="B704" s="159"/>
      <c r="C704" s="159"/>
      <c r="D704" s="169"/>
      <c r="E704" s="169"/>
      <c r="F704" s="333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IFERROR(__xludf.DUMMYFUNCTION("IMPORTRANGE(""https://docs.google.com/spreadsheets/d/1eHaY18a8A9IcSdp1K8H6x8fbOy06t2VsZHhMHf-1x7Y/edit?usp=sharing"",""แผน!LJ82"")"),0)</f>
        <v>0</v>
      </c>
      <c r="J704" s="152">
        <f ca="1">IFERROR(__xludf.DUMMYFUNCTION("IMPORTRANGE(""https://docs.google.com/spreadsheets/d/1tdoBKaGub7dwA3U6UFTqxio9LNnvDCQjHKmttSEBsFQ/edit?usp=sharing"",""จัดที่ดิน!AP82"")"),0)</f>
        <v>0</v>
      </c>
      <c r="K704" s="46">
        <f t="shared" ca="1" si="424"/>
        <v>0</v>
      </c>
      <c r="L704" s="547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24"/>
      <c r="B705" s="159"/>
      <c r="C705" s="159"/>
      <c r="D705" s="169"/>
      <c r="E705" s="169"/>
      <c r="F705" s="169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IFERROR(__xludf.DUMMYFUNCTION("IMPORTRANGE(""https://docs.google.com/spreadsheets/d/1tdoBKaGub7dwA3U6UFTqxio9LNnvDCQjHKmttSEBsFQ/edit?usp=sharing"",""จัดที่ดิน!AQ82"")"),0)</f>
        <v>0</v>
      </c>
      <c r="K705" s="46">
        <f t="shared" si="424"/>
        <v>0</v>
      </c>
      <c r="L705" s="547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24"/>
      <c r="B706" s="159"/>
      <c r="C706" s="159"/>
      <c r="D706" s="169"/>
      <c r="E706" s="169"/>
      <c r="F706" s="333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IFERROR(__xludf.DUMMYFUNCTION("IMPORTRANGE(""https://docs.google.com/spreadsheets/d/1eHaY18a8A9IcSdp1K8H6x8fbOy06t2VsZHhMHf-1x7Y/edit?usp=sharing"",""แผน!LK82"")"),3)</f>
        <v>3</v>
      </c>
      <c r="J706" s="152">
        <f ca="1">IFERROR(__xludf.DUMMYFUNCTION("IMPORTRANGE(""https://docs.google.com/spreadsheets/d/1tdoBKaGub7dwA3U6UFTqxio9LNnvDCQjHKmttSEBsFQ/edit?usp=sharing"",""จัดที่ดิน!AR82"")"),0)</f>
        <v>0</v>
      </c>
      <c r="K706" s="153">
        <f t="shared" ca="1" si="424"/>
        <v>0</v>
      </c>
      <c r="L706" s="547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24"/>
      <c r="B707" s="159"/>
      <c r="C707" s="159"/>
      <c r="D707" s="169"/>
      <c r="E707" s="169"/>
      <c r="F707" s="169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IFERROR(__xludf.DUMMYFUNCTION("IMPORTRANGE(""https://docs.google.com/spreadsheets/d/1tdoBKaGub7dwA3U6UFTqxio9LNnvDCQjHKmttSEBsFQ/edit?usp=sharing"",""จัดที่ดิน!AS82"")"),0)</f>
        <v>0</v>
      </c>
      <c r="K707" s="46">
        <f t="shared" si="424"/>
        <v>0</v>
      </c>
      <c r="L707" s="547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24"/>
      <c r="B708" s="159"/>
      <c r="C708" s="159"/>
      <c r="D708" s="169"/>
      <c r="E708" s="333" t="s">
        <v>261</v>
      </c>
      <c r="F708" s="169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IFERROR(__xludf.DUMMYFUNCTION("IMPORTRANGE(""https://docs.google.com/spreadsheets/d/1eHaY18a8A9IcSdp1K8H6x8fbOy06t2VsZHhMHf-1x7Y/edit?usp=sharing"",""แผน!LJ82"")"),0)</f>
        <v>0</v>
      </c>
      <c r="J708" s="152">
        <f ca="1">IFERROR(__xludf.DUMMYFUNCTION("IMPORTRANGE(""https://docs.google.com/spreadsheets/d/1tdoBKaGub7dwA3U6UFTqxio9LNnvDCQjHKmttSEBsFQ/edit?usp=sharing"",""จัดที่ดิน!BN82"")"),0)</f>
        <v>0</v>
      </c>
      <c r="K708" s="46">
        <f t="shared" ca="1" si="424"/>
        <v>0</v>
      </c>
      <c r="L708" s="547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24"/>
      <c r="B709" s="159"/>
      <c r="C709" s="159"/>
      <c r="D709" s="169"/>
      <c r="E709" s="451" t="s">
        <v>262</v>
      </c>
      <c r="F709" s="169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IFERROR(__xludf.DUMMYFUNCTION("IMPORTRANGE(""https://docs.google.com/spreadsheets/d/1tdoBKaGub7dwA3U6UFTqxio9LNnvDCQjHKmttSEBsFQ/edit?usp=sharing"",""จัดที่ดิน!BO82"")"),0)</f>
        <v>0</v>
      </c>
      <c r="K709" s="46">
        <f t="shared" si="424"/>
        <v>0</v>
      </c>
      <c r="L709" s="547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24"/>
      <c r="B710" s="159"/>
      <c r="C710" s="159"/>
      <c r="D710" s="199"/>
      <c r="E710" s="270" t="s">
        <v>263</v>
      </c>
      <c r="F710" s="199"/>
      <c r="G710" s="42"/>
      <c r="H710" s="188" t="s">
        <v>35</v>
      </c>
      <c r="I710" s="152">
        <f ca="1">IFERROR(__xludf.DUMMYFUNCTION("IMPORTRANGE(""https://docs.google.com/spreadsheets/d/1eHaY18a8A9IcSdp1K8H6x8fbOy06t2VsZHhMHf-1x7Y/edit?usp=sharing"",""แผน!LK82"")"),3)</f>
        <v>3</v>
      </c>
      <c r="J710" s="152">
        <f ca="1">IFERROR(__xludf.DUMMYFUNCTION("IMPORTRANGE(""https://docs.google.com/spreadsheets/d/1tdoBKaGub7dwA3U6UFTqxio9LNnvDCQjHKmttSEBsFQ/edit?usp=sharing"",""จัดที่ดิน!BP82"")"),0)</f>
        <v>0</v>
      </c>
      <c r="K710" s="46">
        <f t="shared" ca="1" si="424"/>
        <v>0</v>
      </c>
      <c r="L710" s="522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8.75" x14ac:dyDescent="0.25">
      <c r="A711" s="224"/>
      <c r="B711" s="159"/>
      <c r="C711" s="159"/>
      <c r="D711" s="199"/>
      <c r="E711" s="451" t="s">
        <v>264</v>
      </c>
      <c r="F711" s="199"/>
      <c r="G711" s="42"/>
      <c r="H711" s="188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IFERROR(__xludf.DUMMYFUNCTION("IMPORTRANGE(""https://docs.google.com/spreadsheets/d/1tdoBKaGub7dwA3U6UFTqxio9LNnvDCQjHKmttSEBsFQ/edit?usp=sharing"",""จัดที่ดิน!BQ82"")"),0)</f>
        <v>0</v>
      </c>
      <c r="K711" s="46">
        <f t="shared" si="424"/>
        <v>0</v>
      </c>
      <c r="L711" s="522"/>
      <c r="M711" s="45"/>
      <c r="N711" s="45"/>
      <c r="O711" s="45"/>
      <c r="P711" s="45"/>
      <c r="Q711" s="45"/>
      <c r="R711" s="45"/>
      <c r="S711" s="45"/>
      <c r="T711" s="45"/>
      <c r="U711" s="45"/>
    </row>
    <row r="712" spans="1:21" ht="12.75" hidden="1" x14ac:dyDescent="0.2">
      <c r="A712" s="386"/>
      <c r="B712" s="341"/>
      <c r="C712" s="341"/>
      <c r="D712" s="387"/>
      <c r="E712" s="387"/>
      <c r="F712" s="387"/>
      <c r="G712" s="388"/>
      <c r="H712" s="342"/>
      <c r="I712" s="343"/>
      <c r="J712" s="343"/>
      <c r="K712" s="344"/>
      <c r="L712" s="694"/>
      <c r="M712" s="344"/>
      <c r="N712" s="344"/>
      <c r="O712" s="344"/>
      <c r="P712" s="344"/>
      <c r="Q712" s="344"/>
      <c r="R712" s="344"/>
      <c r="S712" s="344"/>
      <c r="T712" s="344"/>
      <c r="U712" s="344"/>
    </row>
    <row r="713" spans="1:21" ht="19.5" hidden="1" x14ac:dyDescent="0.3">
      <c r="A713" s="420"/>
      <c r="B713" s="452" t="s">
        <v>265</v>
      </c>
      <c r="C713" s="420"/>
      <c r="D713" s="422"/>
      <c r="E713" s="422"/>
      <c r="F713" s="422"/>
      <c r="G713" s="423"/>
      <c r="H713" s="453" t="s">
        <v>46</v>
      </c>
      <c r="I713" s="425"/>
      <c r="J713" s="425">
        <f>J725</f>
        <v>0</v>
      </c>
      <c r="K713" s="454">
        <f>IF(I713&gt;0,J713*100/I713,0)</f>
        <v>0</v>
      </c>
      <c r="L713" s="745"/>
      <c r="M713" s="426"/>
      <c r="N713" s="426"/>
      <c r="O713" s="426"/>
      <c r="P713" s="426"/>
      <c r="Q713" s="426"/>
      <c r="R713" s="426"/>
      <c r="S713" s="426"/>
      <c r="T713" s="426"/>
      <c r="U713" s="426"/>
    </row>
    <row r="714" spans="1:21" ht="19.5" hidden="1" x14ac:dyDescent="0.3">
      <c r="A714" s="420"/>
      <c r="B714" s="452" t="s">
        <v>266</v>
      </c>
      <c r="C714" s="420"/>
      <c r="D714" s="422"/>
      <c r="E714" s="422"/>
      <c r="F714" s="422"/>
      <c r="G714" s="423"/>
      <c r="H714" s="424"/>
      <c r="I714" s="425"/>
      <c r="J714" s="425"/>
      <c r="K714" s="426"/>
      <c r="L714" s="745"/>
      <c r="M714" s="426"/>
      <c r="N714" s="426"/>
      <c r="O714" s="426"/>
      <c r="P714" s="426"/>
      <c r="Q714" s="426"/>
      <c r="R714" s="426"/>
      <c r="S714" s="426"/>
      <c r="T714" s="426"/>
      <c r="U714" s="426"/>
    </row>
    <row r="715" spans="1:21" ht="19.5" hidden="1" x14ac:dyDescent="0.3">
      <c r="A715" s="128"/>
      <c r="B715" s="159"/>
      <c r="C715" s="455" t="s">
        <v>18</v>
      </c>
      <c r="D715" s="742" t="s">
        <v>19</v>
      </c>
      <c r="E715" s="490"/>
      <c r="F715" s="490"/>
      <c r="G715" s="491"/>
      <c r="H715" s="398" t="s">
        <v>14</v>
      </c>
      <c r="I715" s="44"/>
      <c r="J715" s="44"/>
      <c r="K715" s="45"/>
      <c r="L715" s="545">
        <f t="shared" ref="L715:N715" si="426">L716+L717</f>
        <v>0</v>
      </c>
      <c r="M715" s="132">
        <f t="shared" si="426"/>
        <v>0</v>
      </c>
      <c r="N715" s="132">
        <f t="shared" si="426"/>
        <v>0</v>
      </c>
      <c r="O715" s="132">
        <f t="shared" ref="O715:O723" si="427">IF(L715&gt;0,N715*100/L715,0)</f>
        <v>0</v>
      </c>
      <c r="P715" s="132">
        <f t="shared" ref="P715:P723" si="428">IF(M715&gt;0,N715*100/M715,0)</f>
        <v>0</v>
      </c>
      <c r="Q715" s="132">
        <f t="shared" ref="Q715:S715" si="429">Q716+Q717</f>
        <v>0</v>
      </c>
      <c r="R715" s="132">
        <f t="shared" si="429"/>
        <v>0</v>
      </c>
      <c r="S715" s="132">
        <f t="shared" si="429"/>
        <v>0</v>
      </c>
      <c r="T715" s="132">
        <f t="shared" ref="T715:T723" si="430">IF(Q715&gt;0,S715*100/Q715,0)</f>
        <v>0</v>
      </c>
      <c r="U715" s="132">
        <f t="shared" ref="U715:U723" si="431">IF(R715&gt;0,S715*100/R715,0)</f>
        <v>0</v>
      </c>
    </row>
    <row r="716" spans="1:21" ht="18.75" hidden="1" x14ac:dyDescent="0.25">
      <c r="A716" s="128"/>
      <c r="B716" s="159"/>
      <c r="C716" s="159"/>
      <c r="D716" s="169"/>
      <c r="E716" s="157" t="s">
        <v>158</v>
      </c>
      <c r="F716" s="199"/>
      <c r="G716" s="42"/>
      <c r="H716" s="160" t="s">
        <v>14</v>
      </c>
      <c r="I716" s="44"/>
      <c r="J716" s="44"/>
      <c r="K716" s="45"/>
      <c r="L716" s="521">
        <f t="shared" ref="L716:N717" si="432">L719+L722</f>
        <v>0</v>
      </c>
      <c r="M716" s="48">
        <f t="shared" si="432"/>
        <v>0</v>
      </c>
      <c r="N716" s="48">
        <f t="shared" si="432"/>
        <v>0</v>
      </c>
      <c r="O716" s="48">
        <f t="shared" si="427"/>
        <v>0</v>
      </c>
      <c r="P716" s="48">
        <f t="shared" si="428"/>
        <v>0</v>
      </c>
      <c r="Q716" s="48">
        <f t="shared" ref="Q716:S717" si="433">Q719+Q722</f>
        <v>0</v>
      </c>
      <c r="R716" s="48">
        <f t="shared" si="433"/>
        <v>0</v>
      </c>
      <c r="S716" s="48">
        <f t="shared" si="433"/>
        <v>0</v>
      </c>
      <c r="T716" s="48">
        <f t="shared" si="430"/>
        <v>0</v>
      </c>
      <c r="U716" s="48">
        <f t="shared" si="431"/>
        <v>0</v>
      </c>
    </row>
    <row r="717" spans="1:21" ht="18.75" hidden="1" x14ac:dyDescent="0.25">
      <c r="A717" s="128"/>
      <c r="B717" s="159"/>
      <c r="C717" s="159"/>
      <c r="D717" s="169"/>
      <c r="E717" s="157" t="s">
        <v>159</v>
      </c>
      <c r="F717" s="199"/>
      <c r="G717" s="42"/>
      <c r="H717" s="160" t="s">
        <v>14</v>
      </c>
      <c r="I717" s="44"/>
      <c r="J717" s="44"/>
      <c r="K717" s="45"/>
      <c r="L717" s="519">
        <f t="shared" si="432"/>
        <v>0</v>
      </c>
      <c r="M717" s="46">
        <f t="shared" si="432"/>
        <v>0</v>
      </c>
      <c r="N717" s="46">
        <f t="shared" si="432"/>
        <v>0</v>
      </c>
      <c r="O717" s="46">
        <f t="shared" si="427"/>
        <v>0</v>
      </c>
      <c r="P717" s="46">
        <f t="shared" si="428"/>
        <v>0</v>
      </c>
      <c r="Q717" s="46">
        <f t="shared" si="433"/>
        <v>0</v>
      </c>
      <c r="R717" s="46">
        <f t="shared" si="433"/>
        <v>0</v>
      </c>
      <c r="S717" s="46">
        <f t="shared" si="433"/>
        <v>0</v>
      </c>
      <c r="T717" s="46">
        <f t="shared" si="430"/>
        <v>0</v>
      </c>
      <c r="U717" s="46">
        <f t="shared" si="431"/>
        <v>0</v>
      </c>
    </row>
    <row r="718" spans="1:21" ht="19.5" hidden="1" x14ac:dyDescent="0.3">
      <c r="A718" s="128"/>
      <c r="B718" s="159"/>
      <c r="C718" s="159"/>
      <c r="D718" s="578" t="s">
        <v>22</v>
      </c>
      <c r="E718" s="199"/>
      <c r="F718" s="199"/>
      <c r="G718" s="42"/>
      <c r="H718" s="398" t="s">
        <v>14</v>
      </c>
      <c r="I718" s="135"/>
      <c r="J718" s="135"/>
      <c r="K718" s="136"/>
      <c r="L718" s="519">
        <f t="shared" ref="L718:N718" si="434">L719+L720</f>
        <v>0</v>
      </c>
      <c r="M718" s="46">
        <f t="shared" si="434"/>
        <v>0</v>
      </c>
      <c r="N718" s="46">
        <f t="shared" si="434"/>
        <v>0</v>
      </c>
      <c r="O718" s="46">
        <f t="shared" si="427"/>
        <v>0</v>
      </c>
      <c r="P718" s="46">
        <f t="shared" si="428"/>
        <v>0</v>
      </c>
      <c r="Q718" s="46">
        <f t="shared" ref="Q718:S718" si="435">Q719+Q720</f>
        <v>0</v>
      </c>
      <c r="R718" s="46">
        <f t="shared" si="435"/>
        <v>0</v>
      </c>
      <c r="S718" s="46">
        <f t="shared" si="435"/>
        <v>0</v>
      </c>
      <c r="T718" s="46">
        <f t="shared" si="430"/>
        <v>0</v>
      </c>
      <c r="U718" s="46">
        <f t="shared" si="431"/>
        <v>0</v>
      </c>
    </row>
    <row r="719" spans="1:21" ht="18.75" hidden="1" x14ac:dyDescent="0.25">
      <c r="A719" s="128"/>
      <c r="B719" s="159"/>
      <c r="C719" s="159"/>
      <c r="D719" s="169"/>
      <c r="E719" s="157" t="s">
        <v>158</v>
      </c>
      <c r="F719" s="199"/>
      <c r="G719" s="42"/>
      <c r="H719" s="160" t="s">
        <v>14</v>
      </c>
      <c r="I719" s="44"/>
      <c r="J719" s="44"/>
      <c r="K719" s="45"/>
      <c r="L719" s="521">
        <v>0</v>
      </c>
      <c r="M719" s="48">
        <v>0</v>
      </c>
      <c r="N719" s="48">
        <v>0</v>
      </c>
      <c r="O719" s="48">
        <f t="shared" si="427"/>
        <v>0</v>
      </c>
      <c r="P719" s="48">
        <f t="shared" si="428"/>
        <v>0</v>
      </c>
      <c r="Q719" s="48">
        <v>0</v>
      </c>
      <c r="R719" s="48">
        <v>0</v>
      </c>
      <c r="S719" s="48">
        <v>0</v>
      </c>
      <c r="T719" s="48">
        <f t="shared" si="430"/>
        <v>0</v>
      </c>
      <c r="U719" s="48">
        <f t="shared" si="431"/>
        <v>0</v>
      </c>
    </row>
    <row r="720" spans="1:21" ht="18.75" hidden="1" x14ac:dyDescent="0.25">
      <c r="A720" s="128"/>
      <c r="B720" s="159"/>
      <c r="C720" s="159"/>
      <c r="D720" s="169"/>
      <c r="E720" s="157" t="s">
        <v>159</v>
      </c>
      <c r="F720" s="199"/>
      <c r="G720" s="42"/>
      <c r="H720" s="160" t="s">
        <v>14</v>
      </c>
      <c r="I720" s="44"/>
      <c r="J720" s="44"/>
      <c r="K720" s="45"/>
      <c r="L720" s="519">
        <v>0</v>
      </c>
      <c r="M720" s="46">
        <v>0</v>
      </c>
      <c r="N720" s="46">
        <v>0</v>
      </c>
      <c r="O720" s="46">
        <f t="shared" si="427"/>
        <v>0</v>
      </c>
      <c r="P720" s="46">
        <f t="shared" si="428"/>
        <v>0</v>
      </c>
      <c r="Q720" s="46">
        <v>0</v>
      </c>
      <c r="R720" s="46">
        <v>0</v>
      </c>
      <c r="S720" s="46">
        <v>0</v>
      </c>
      <c r="T720" s="46">
        <f t="shared" si="430"/>
        <v>0</v>
      </c>
      <c r="U720" s="46">
        <f t="shared" si="431"/>
        <v>0</v>
      </c>
    </row>
    <row r="721" spans="1:21" ht="19.5" hidden="1" x14ac:dyDescent="0.3">
      <c r="A721" s="128"/>
      <c r="B721" s="159"/>
      <c r="C721" s="159"/>
      <c r="D721" s="578" t="s">
        <v>23</v>
      </c>
      <c r="E721" s="199"/>
      <c r="F721" s="199"/>
      <c r="G721" s="42"/>
      <c r="H721" s="400" t="s">
        <v>14</v>
      </c>
      <c r="I721" s="135"/>
      <c r="J721" s="135"/>
      <c r="K721" s="136"/>
      <c r="L721" s="519">
        <f t="shared" ref="L721:N721" si="436">L722+L723</f>
        <v>0</v>
      </c>
      <c r="M721" s="46">
        <f t="shared" si="436"/>
        <v>0</v>
      </c>
      <c r="N721" s="46">
        <f t="shared" si="436"/>
        <v>0</v>
      </c>
      <c r="O721" s="46">
        <f t="shared" si="427"/>
        <v>0</v>
      </c>
      <c r="P721" s="46">
        <f t="shared" si="428"/>
        <v>0</v>
      </c>
      <c r="Q721" s="46">
        <f t="shared" ref="Q721:S721" si="437">Q722+Q723</f>
        <v>0</v>
      </c>
      <c r="R721" s="46">
        <f t="shared" si="437"/>
        <v>0</v>
      </c>
      <c r="S721" s="46">
        <f t="shared" si="437"/>
        <v>0</v>
      </c>
      <c r="T721" s="46">
        <f t="shared" si="430"/>
        <v>0</v>
      </c>
      <c r="U721" s="46">
        <f t="shared" si="431"/>
        <v>0</v>
      </c>
    </row>
    <row r="722" spans="1:21" ht="18.75" hidden="1" x14ac:dyDescent="0.25">
      <c r="A722" s="128"/>
      <c r="B722" s="159"/>
      <c r="C722" s="159"/>
      <c r="D722" s="199"/>
      <c r="E722" s="157" t="s">
        <v>20</v>
      </c>
      <c r="F722" s="199"/>
      <c r="G722" s="42"/>
      <c r="H722" s="160" t="s">
        <v>14</v>
      </c>
      <c r="I722" s="135"/>
      <c r="J722" s="135"/>
      <c r="K722" s="136"/>
      <c r="L722" s="521">
        <v>0</v>
      </c>
      <c r="M722" s="48">
        <v>0</v>
      </c>
      <c r="N722" s="48">
        <v>0</v>
      </c>
      <c r="O722" s="48">
        <f t="shared" si="427"/>
        <v>0</v>
      </c>
      <c r="P722" s="48">
        <f t="shared" si="428"/>
        <v>0</v>
      </c>
      <c r="Q722" s="48">
        <v>0</v>
      </c>
      <c r="R722" s="48">
        <v>0</v>
      </c>
      <c r="S722" s="48">
        <v>0</v>
      </c>
      <c r="T722" s="48">
        <f t="shared" si="430"/>
        <v>0</v>
      </c>
      <c r="U722" s="48">
        <f t="shared" si="431"/>
        <v>0</v>
      </c>
    </row>
    <row r="723" spans="1:21" ht="18.75" hidden="1" x14ac:dyDescent="0.25">
      <c r="A723" s="128"/>
      <c r="B723" s="159"/>
      <c r="C723" s="159"/>
      <c r="D723" s="199"/>
      <c r="E723" s="157" t="s">
        <v>21</v>
      </c>
      <c r="F723" s="199"/>
      <c r="G723" s="42"/>
      <c r="H723" s="401" t="s">
        <v>14</v>
      </c>
      <c r="I723" s="135"/>
      <c r="J723" s="135"/>
      <c r="K723" s="136"/>
      <c r="L723" s="519">
        <v>0</v>
      </c>
      <c r="M723" s="46">
        <v>0</v>
      </c>
      <c r="N723" s="46">
        <v>0</v>
      </c>
      <c r="O723" s="46">
        <f t="shared" si="427"/>
        <v>0</v>
      </c>
      <c r="P723" s="46">
        <f t="shared" si="428"/>
        <v>0</v>
      </c>
      <c r="Q723" s="46">
        <v>0</v>
      </c>
      <c r="R723" s="46">
        <v>0</v>
      </c>
      <c r="S723" s="46">
        <v>0</v>
      </c>
      <c r="T723" s="46">
        <f t="shared" si="430"/>
        <v>0</v>
      </c>
      <c r="U723" s="46">
        <f t="shared" si="431"/>
        <v>0</v>
      </c>
    </row>
    <row r="724" spans="1:21" ht="19.5" hidden="1" x14ac:dyDescent="0.3">
      <c r="A724" s="138"/>
      <c r="B724" s="139"/>
      <c r="C724" s="455" t="s">
        <v>18</v>
      </c>
      <c r="D724" s="754" t="s">
        <v>38</v>
      </c>
      <c r="E724" s="141"/>
      <c r="F724" s="141"/>
      <c r="G724" s="142"/>
      <c r="H724" s="191"/>
      <c r="I724" s="135"/>
      <c r="J724" s="135"/>
      <c r="K724" s="136"/>
      <c r="L724" s="547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24"/>
      <c r="B725" s="159"/>
      <c r="C725" s="159"/>
      <c r="D725" s="199"/>
      <c r="E725" s="157" t="s">
        <v>267</v>
      </c>
      <c r="F725" s="199"/>
      <c r="G725" s="42"/>
      <c r="H725" s="160" t="s">
        <v>46</v>
      </c>
      <c r="I725" s="340">
        <v>0</v>
      </c>
      <c r="J725" s="44"/>
      <c r="K725" s="45"/>
      <c r="L725" s="522"/>
      <c r="M725" s="45"/>
      <c r="N725" s="45"/>
      <c r="O725" s="45"/>
      <c r="P725" s="45"/>
      <c r="Q725" s="45"/>
      <c r="R725" s="45"/>
      <c r="S725" s="45"/>
      <c r="T725" s="45"/>
      <c r="U725" s="45"/>
    </row>
    <row r="726" spans="1:21" ht="18.75" hidden="1" x14ac:dyDescent="0.25">
      <c r="A726" s="355"/>
      <c r="B726" s="4"/>
      <c r="C726" s="4"/>
      <c r="D726" s="2"/>
      <c r="E726" s="457" t="s">
        <v>268</v>
      </c>
      <c r="F726" s="2"/>
      <c r="G726" s="52"/>
      <c r="H726" s="458" t="s">
        <v>46</v>
      </c>
      <c r="I726" s="459">
        <v>0</v>
      </c>
      <c r="J726" s="54"/>
      <c r="K726" s="5"/>
      <c r="L726" s="523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.5" x14ac:dyDescent="0.3">
      <c r="A727" s="420"/>
      <c r="B727" s="421" t="s">
        <v>269</v>
      </c>
      <c r="C727" s="420"/>
      <c r="D727" s="422"/>
      <c r="E727" s="422"/>
      <c r="F727" s="422"/>
      <c r="G727" s="423"/>
      <c r="H727" s="447" t="s">
        <v>35</v>
      </c>
      <c r="I727" s="448">
        <f ca="1">IFERROR(__xludf.DUMMYFUNCTION("IMPORTRANGE(""https://docs.google.com/spreadsheets/d/1eHaY18a8A9IcSdp1K8H6x8fbOy06t2VsZHhMHf-1x7Y/edit?usp=sharing"",""แผน!GA82"")"),21)</f>
        <v>21</v>
      </c>
      <c r="J727" s="448">
        <f>J743+J747+J750</f>
        <v>0</v>
      </c>
      <c r="K727" s="449">
        <f t="shared" ref="K727:K728" ca="1" si="438">IF(I727&gt;0,J727*100/I727,0)</f>
        <v>0</v>
      </c>
      <c r="L727" s="745"/>
      <c r="M727" s="426"/>
      <c r="N727" s="426"/>
      <c r="O727" s="426"/>
      <c r="P727" s="426"/>
      <c r="Q727" s="426"/>
      <c r="R727" s="426"/>
      <c r="S727" s="426"/>
      <c r="T727" s="426"/>
      <c r="U727" s="426"/>
    </row>
    <row r="728" spans="1:21" ht="19.5" x14ac:dyDescent="0.3">
      <c r="A728" s="460"/>
      <c r="B728" s="420"/>
      <c r="C728" s="420"/>
      <c r="D728" s="422"/>
      <c r="E728" s="422"/>
      <c r="F728" s="422"/>
      <c r="G728" s="423"/>
      <c r="H728" s="447" t="s">
        <v>46</v>
      </c>
      <c r="I728" s="448">
        <f ca="1">IFERROR(__xludf.DUMMYFUNCTION("IMPORTRANGE(""https://docs.google.com/spreadsheets/d/1eHaY18a8A9IcSdp1K8H6x8fbOy06t2VsZHhMHf-1x7Y/edit?usp=sharing"",""แผน!FZ82"")"),200)</f>
        <v>200</v>
      </c>
      <c r="J728" s="448">
        <f>J753+J756</f>
        <v>0</v>
      </c>
      <c r="K728" s="449">
        <f t="shared" ca="1" si="438"/>
        <v>0</v>
      </c>
      <c r="L728" s="745"/>
      <c r="M728" s="426"/>
      <c r="N728" s="426"/>
      <c r="O728" s="426"/>
      <c r="P728" s="426"/>
      <c r="Q728" s="426"/>
      <c r="R728" s="426"/>
      <c r="S728" s="426"/>
      <c r="T728" s="426"/>
      <c r="U728" s="426"/>
    </row>
    <row r="729" spans="1:21" ht="19.5" x14ac:dyDescent="0.3">
      <c r="A729" s="128"/>
      <c r="B729" s="159"/>
      <c r="C729" s="190" t="s">
        <v>18</v>
      </c>
      <c r="D729" s="747" t="s">
        <v>19</v>
      </c>
      <c r="E729" s="490"/>
      <c r="F729" s="490"/>
      <c r="G729" s="491"/>
      <c r="H729" s="239" t="s">
        <v>14</v>
      </c>
      <c r="I729" s="44"/>
      <c r="J729" s="44"/>
      <c r="K729" s="45"/>
      <c r="L729" s="545">
        <f t="shared" ref="L729:N729" si="439">L730+L731</f>
        <v>0</v>
      </c>
      <c r="M729" s="132">
        <f t="shared" si="439"/>
        <v>0</v>
      </c>
      <c r="N729" s="132">
        <f t="shared" si="439"/>
        <v>0</v>
      </c>
      <c r="O729" s="132">
        <f t="shared" ref="O729:O737" si="440">IF(L729&gt;0,N729*100/L729,0)</f>
        <v>0</v>
      </c>
      <c r="P729" s="132">
        <f t="shared" ref="P729:P737" si="441">IF(M729&gt;0,N729*100/M729,0)</f>
        <v>0</v>
      </c>
      <c r="Q729" s="132">
        <f t="shared" ref="Q729:S729" ca="1" si="442">Q730+Q731</f>
        <v>175994</v>
      </c>
      <c r="R729" s="132">
        <f t="shared" ca="1" si="442"/>
        <v>175994</v>
      </c>
      <c r="S729" s="132">
        <f t="shared" ca="1" si="442"/>
        <v>25265</v>
      </c>
      <c r="T729" s="132">
        <f t="shared" ref="T729:T737" ca="1" si="443">IF(Q729&gt;0,S729*100/Q729,0)</f>
        <v>14.355603031921543</v>
      </c>
      <c r="U729" s="132">
        <f t="shared" ref="U729:U737" ca="1" si="444">IF(R729&gt;0,S729*100/R729,0)</f>
        <v>14.355603031921543</v>
      </c>
    </row>
    <row r="730" spans="1:21" ht="18.75" hidden="1" x14ac:dyDescent="0.25">
      <c r="A730" s="128"/>
      <c r="B730" s="159"/>
      <c r="C730" s="159"/>
      <c r="D730" s="169"/>
      <c r="E730" s="157" t="s">
        <v>158</v>
      </c>
      <c r="F730" s="199"/>
      <c r="G730" s="42"/>
      <c r="H730" s="160" t="s">
        <v>14</v>
      </c>
      <c r="I730" s="44"/>
      <c r="J730" s="44"/>
      <c r="K730" s="45"/>
      <c r="L730" s="521">
        <f t="shared" ref="L730:N731" si="445">L733+L736</f>
        <v>0</v>
      </c>
      <c r="M730" s="48">
        <f t="shared" si="445"/>
        <v>0</v>
      </c>
      <c r="N730" s="48">
        <f t="shared" si="445"/>
        <v>0</v>
      </c>
      <c r="O730" s="48">
        <f t="shared" si="440"/>
        <v>0</v>
      </c>
      <c r="P730" s="48">
        <f t="shared" si="441"/>
        <v>0</v>
      </c>
      <c r="Q730" s="48">
        <f t="shared" ref="Q730:S731" si="446">Q733+Q736</f>
        <v>0</v>
      </c>
      <c r="R730" s="48">
        <f t="shared" si="446"/>
        <v>0</v>
      </c>
      <c r="S730" s="48">
        <f t="shared" si="446"/>
        <v>0</v>
      </c>
      <c r="T730" s="48">
        <f t="shared" si="443"/>
        <v>0</v>
      </c>
      <c r="U730" s="48">
        <f t="shared" si="444"/>
        <v>0</v>
      </c>
    </row>
    <row r="731" spans="1:21" ht="18.75" hidden="1" x14ac:dyDescent="0.25">
      <c r="A731" s="128"/>
      <c r="B731" s="159"/>
      <c r="C731" s="159"/>
      <c r="D731" s="169"/>
      <c r="E731" s="270" t="s">
        <v>159</v>
      </c>
      <c r="F731" s="199"/>
      <c r="G731" s="42"/>
      <c r="H731" s="134" t="s">
        <v>14</v>
      </c>
      <c r="I731" s="44"/>
      <c r="J731" s="44"/>
      <c r="K731" s="45"/>
      <c r="L731" s="519">
        <f t="shared" si="445"/>
        <v>0</v>
      </c>
      <c r="M731" s="46">
        <f t="shared" si="445"/>
        <v>0</v>
      </c>
      <c r="N731" s="46">
        <f t="shared" si="445"/>
        <v>0</v>
      </c>
      <c r="O731" s="46">
        <f t="shared" si="440"/>
        <v>0</v>
      </c>
      <c r="P731" s="46">
        <f t="shared" si="441"/>
        <v>0</v>
      </c>
      <c r="Q731" s="46">
        <f t="shared" ca="1" si="446"/>
        <v>175994</v>
      </c>
      <c r="R731" s="46">
        <f t="shared" ca="1" si="446"/>
        <v>175994</v>
      </c>
      <c r="S731" s="46">
        <f t="shared" ca="1" si="446"/>
        <v>25265</v>
      </c>
      <c r="T731" s="46">
        <f t="shared" ca="1" si="443"/>
        <v>14.355603031921543</v>
      </c>
      <c r="U731" s="46">
        <f t="shared" ca="1" si="444"/>
        <v>14.355603031921543</v>
      </c>
    </row>
    <row r="732" spans="1:21" ht="18.75" x14ac:dyDescent="0.25">
      <c r="A732" s="128"/>
      <c r="B732" s="159"/>
      <c r="C732" s="159"/>
      <c r="D732" s="41" t="s">
        <v>22</v>
      </c>
      <c r="E732" s="199"/>
      <c r="F732" s="199"/>
      <c r="G732" s="42"/>
      <c r="H732" s="134" t="s">
        <v>14</v>
      </c>
      <c r="I732" s="135"/>
      <c r="J732" s="135"/>
      <c r="K732" s="136"/>
      <c r="L732" s="519">
        <f t="shared" ref="L732:N732" si="447">L733+L734</f>
        <v>0</v>
      </c>
      <c r="M732" s="46">
        <f t="shared" si="447"/>
        <v>0</v>
      </c>
      <c r="N732" s="46">
        <f t="shared" si="447"/>
        <v>0</v>
      </c>
      <c r="O732" s="46">
        <f t="shared" si="440"/>
        <v>0</v>
      </c>
      <c r="P732" s="46">
        <f t="shared" si="441"/>
        <v>0</v>
      </c>
      <c r="Q732" s="46">
        <f t="shared" ref="Q732:S732" ca="1" si="448">Q733+Q734</f>
        <v>175994</v>
      </c>
      <c r="R732" s="46">
        <f t="shared" ca="1" si="448"/>
        <v>175994</v>
      </c>
      <c r="S732" s="46">
        <f t="shared" ca="1" si="448"/>
        <v>25265</v>
      </c>
      <c r="T732" s="46">
        <f t="shared" ca="1" si="443"/>
        <v>14.355603031921543</v>
      </c>
      <c r="U732" s="46">
        <f t="shared" ca="1" si="444"/>
        <v>14.355603031921543</v>
      </c>
    </row>
    <row r="733" spans="1:21" ht="18.75" hidden="1" x14ac:dyDescent="0.25">
      <c r="A733" s="128"/>
      <c r="B733" s="159"/>
      <c r="C733" s="159"/>
      <c r="D733" s="169"/>
      <c r="E733" s="157" t="s">
        <v>158</v>
      </c>
      <c r="F733" s="199"/>
      <c r="G733" s="42"/>
      <c r="H733" s="160" t="s">
        <v>14</v>
      </c>
      <c r="I733" s="44"/>
      <c r="J733" s="44"/>
      <c r="K733" s="45"/>
      <c r="L733" s="521">
        <v>0</v>
      </c>
      <c r="M733" s="48">
        <v>0</v>
      </c>
      <c r="N733" s="48">
        <v>0</v>
      </c>
      <c r="O733" s="48">
        <f t="shared" si="440"/>
        <v>0</v>
      </c>
      <c r="P733" s="48">
        <f t="shared" si="441"/>
        <v>0</v>
      </c>
      <c r="Q733" s="48">
        <v>0</v>
      </c>
      <c r="R733" s="48">
        <v>0</v>
      </c>
      <c r="S733" s="48">
        <v>0</v>
      </c>
      <c r="T733" s="48">
        <f t="shared" si="443"/>
        <v>0</v>
      </c>
      <c r="U733" s="48">
        <f t="shared" si="444"/>
        <v>0</v>
      </c>
    </row>
    <row r="734" spans="1:21" ht="18.75" hidden="1" x14ac:dyDescent="0.25">
      <c r="A734" s="128"/>
      <c r="B734" s="159"/>
      <c r="C734" s="159"/>
      <c r="D734" s="169"/>
      <c r="E734" s="270" t="s">
        <v>159</v>
      </c>
      <c r="F734" s="199"/>
      <c r="G734" s="42"/>
      <c r="H734" s="134" t="s">
        <v>14</v>
      </c>
      <c r="I734" s="44"/>
      <c r="J734" s="44"/>
      <c r="K734" s="45"/>
      <c r="L734" s="519">
        <v>0</v>
      </c>
      <c r="M734" s="46">
        <v>0</v>
      </c>
      <c r="N734" s="46">
        <v>0</v>
      </c>
      <c r="O734" s="46">
        <f t="shared" si="440"/>
        <v>0</v>
      </c>
      <c r="P734" s="46">
        <f t="shared" si="441"/>
        <v>0</v>
      </c>
      <c r="Q734" s="46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4" s="46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4" s="46">
        <f ca="1">IFERROR(__xludf.DUMMYFUNCTION("IMPORTRANGE(""https://docs.google.com/spreadsheets/d/1ItG2mGa2ceCfYo0BwxsXqNm01IGEUdYcSSLTEv9YCik/edit?usp=sharing"",""เบิกจ่ายกองทุน!Q82"")"),25265)</f>
        <v>25265</v>
      </c>
      <c r="T734" s="46">
        <f t="shared" ca="1" si="443"/>
        <v>14.355603031921543</v>
      </c>
      <c r="U734" s="46">
        <f t="shared" ca="1" si="444"/>
        <v>14.355603031921543</v>
      </c>
    </row>
    <row r="735" spans="1:21" ht="18.75" x14ac:dyDescent="0.25">
      <c r="A735" s="128"/>
      <c r="B735" s="159"/>
      <c r="C735" s="159"/>
      <c r="D735" s="41" t="s">
        <v>23</v>
      </c>
      <c r="E735" s="159"/>
      <c r="F735" s="159"/>
      <c r="G735" s="42"/>
      <c r="H735" s="137" t="s">
        <v>14</v>
      </c>
      <c r="I735" s="135"/>
      <c r="J735" s="135"/>
      <c r="K735" s="136"/>
      <c r="L735" s="519">
        <f t="shared" ref="L735:N735" si="449">L736+L737</f>
        <v>0</v>
      </c>
      <c r="M735" s="46">
        <f t="shared" si="449"/>
        <v>0</v>
      </c>
      <c r="N735" s="46">
        <f t="shared" si="449"/>
        <v>0</v>
      </c>
      <c r="O735" s="46">
        <f t="shared" si="440"/>
        <v>0</v>
      </c>
      <c r="P735" s="46">
        <f t="shared" si="441"/>
        <v>0</v>
      </c>
      <c r="Q735" s="46">
        <f t="shared" ref="Q735:S735" si="450">Q736+Q737</f>
        <v>0</v>
      </c>
      <c r="R735" s="46">
        <f t="shared" si="450"/>
        <v>0</v>
      </c>
      <c r="S735" s="46">
        <f t="shared" si="450"/>
        <v>0</v>
      </c>
      <c r="T735" s="46">
        <f t="shared" si="443"/>
        <v>0</v>
      </c>
      <c r="U735" s="46">
        <f t="shared" si="444"/>
        <v>0</v>
      </c>
    </row>
    <row r="736" spans="1:21" ht="18.75" hidden="1" x14ac:dyDescent="0.25">
      <c r="A736" s="128"/>
      <c r="B736" s="159"/>
      <c r="C736" s="159"/>
      <c r="D736" s="159"/>
      <c r="E736" s="455" t="s">
        <v>20</v>
      </c>
      <c r="F736" s="159"/>
      <c r="G736" s="42"/>
      <c r="H736" s="160" t="s">
        <v>14</v>
      </c>
      <c r="I736" s="135"/>
      <c r="J736" s="135"/>
      <c r="K736" s="136"/>
      <c r="L736" s="521">
        <v>0</v>
      </c>
      <c r="M736" s="48">
        <v>0</v>
      </c>
      <c r="N736" s="48">
        <v>0</v>
      </c>
      <c r="O736" s="48">
        <f t="shared" si="440"/>
        <v>0</v>
      </c>
      <c r="P736" s="48">
        <f t="shared" si="441"/>
        <v>0</v>
      </c>
      <c r="Q736" s="48">
        <v>0</v>
      </c>
      <c r="R736" s="48">
        <v>0</v>
      </c>
      <c r="S736" s="48">
        <v>0</v>
      </c>
      <c r="T736" s="48">
        <f t="shared" si="443"/>
        <v>0</v>
      </c>
      <c r="U736" s="48">
        <f t="shared" si="444"/>
        <v>0</v>
      </c>
    </row>
    <row r="737" spans="1:21" ht="18.75" hidden="1" x14ac:dyDescent="0.25">
      <c r="A737" s="128"/>
      <c r="B737" s="159"/>
      <c r="C737" s="159"/>
      <c r="D737" s="159"/>
      <c r="E737" s="440" t="s">
        <v>21</v>
      </c>
      <c r="F737" s="159"/>
      <c r="G737" s="42"/>
      <c r="H737" s="137" t="s">
        <v>14</v>
      </c>
      <c r="I737" s="135"/>
      <c r="J737" s="135"/>
      <c r="K737" s="136"/>
      <c r="L737" s="519">
        <v>0</v>
      </c>
      <c r="M737" s="46">
        <v>0</v>
      </c>
      <c r="N737" s="46">
        <v>0</v>
      </c>
      <c r="O737" s="46">
        <f t="shared" si="440"/>
        <v>0</v>
      </c>
      <c r="P737" s="46">
        <f t="shared" si="441"/>
        <v>0</v>
      </c>
      <c r="Q737" s="46">
        <v>0</v>
      </c>
      <c r="R737" s="46">
        <v>0</v>
      </c>
      <c r="S737" s="46">
        <v>0</v>
      </c>
      <c r="T737" s="46">
        <f t="shared" si="443"/>
        <v>0</v>
      </c>
      <c r="U737" s="46">
        <f t="shared" si="444"/>
        <v>0</v>
      </c>
    </row>
    <row r="738" spans="1:21" ht="19.5" x14ac:dyDescent="0.3">
      <c r="A738" s="138"/>
      <c r="B738" s="139"/>
      <c r="C738" s="190" t="s">
        <v>18</v>
      </c>
      <c r="D738" s="687" t="s">
        <v>38</v>
      </c>
      <c r="E738" s="219"/>
      <c r="F738" s="141"/>
      <c r="G738" s="142"/>
      <c r="H738" s="191"/>
      <c r="I738" s="44"/>
      <c r="J738" s="44"/>
      <c r="K738" s="45"/>
      <c r="L738" s="522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9.5" x14ac:dyDescent="0.3">
      <c r="A739" s="138"/>
      <c r="B739" s="139"/>
      <c r="C739" s="139"/>
      <c r="D739" s="461" t="s">
        <v>121</v>
      </c>
      <c r="E739" s="139"/>
      <c r="F739" s="139"/>
      <c r="G739" s="143"/>
      <c r="H739" s="193"/>
      <c r="I739" s="44"/>
      <c r="J739" s="44"/>
      <c r="K739" s="45"/>
      <c r="L739" s="522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436" t="s">
        <v>270</v>
      </c>
      <c r="F740" s="139"/>
      <c r="G740" s="143"/>
      <c r="H740" s="193"/>
      <c r="I740" s="44"/>
      <c r="J740" s="44"/>
      <c r="K740" s="45"/>
      <c r="L740" s="522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636"/>
      <c r="B741" s="637"/>
      <c r="C741" s="637"/>
      <c r="D741" s="637"/>
      <c r="E741" s="637"/>
      <c r="F741" s="755" t="s">
        <v>271</v>
      </c>
      <c r="G741" s="639"/>
      <c r="H741" s="628" t="s">
        <v>46</v>
      </c>
      <c r="I741" s="691">
        <f ca="1">IFERROR(__xludf.DUMMYFUNCTION("IMPORTRANGE(""https://docs.google.com/spreadsheets/d/1eHaY18a8A9IcSdp1K8H6x8fbOy06t2VsZHhMHf-1x7Y/edit?usp=sharing"",""แผน!GB82"")"),160)</f>
        <v>160</v>
      </c>
      <c r="J741" s="723">
        <v>0</v>
      </c>
      <c r="K741" s="630">
        <f ca="1">IF(I741&gt;0,J741*100/I741,0)</f>
        <v>0</v>
      </c>
      <c r="L741" s="692"/>
      <c r="M741" s="624"/>
      <c r="N741" s="624"/>
      <c r="O741" s="624"/>
      <c r="P741" s="624"/>
      <c r="Q741" s="624"/>
      <c r="R741" s="624"/>
      <c r="S741" s="624"/>
      <c r="T741" s="624"/>
      <c r="U741" s="624"/>
    </row>
    <row r="742" spans="1:21" ht="18.75" x14ac:dyDescent="0.25">
      <c r="A742" s="636"/>
      <c r="B742" s="637"/>
      <c r="C742" s="637"/>
      <c r="D742" s="637"/>
      <c r="E742" s="637"/>
      <c r="F742" s="755" t="s">
        <v>302</v>
      </c>
      <c r="G742" s="639"/>
      <c r="H742" s="628" t="s">
        <v>35</v>
      </c>
      <c r="I742" s="623"/>
      <c r="J742" s="723">
        <v>0</v>
      </c>
      <c r="K742" s="624"/>
      <c r="L742" s="692"/>
      <c r="M742" s="624"/>
      <c r="N742" s="624"/>
      <c r="O742" s="624"/>
      <c r="P742" s="624"/>
      <c r="Q742" s="624"/>
      <c r="R742" s="624"/>
      <c r="S742" s="624"/>
      <c r="T742" s="624"/>
      <c r="U742" s="624"/>
    </row>
    <row r="743" spans="1:21" ht="18.75" x14ac:dyDescent="0.25">
      <c r="A743" s="636"/>
      <c r="B743" s="637"/>
      <c r="C743" s="637"/>
      <c r="D743" s="637"/>
      <c r="E743" s="637"/>
      <c r="F743" s="755" t="s">
        <v>303</v>
      </c>
      <c r="G743" s="639"/>
      <c r="H743" s="628" t="s">
        <v>35</v>
      </c>
      <c r="I743" s="691">
        <f ca="1">IFERROR(__xludf.DUMMYFUNCTION("IMPORTRANGE(""https://docs.google.com/spreadsheets/d/1eHaY18a8A9IcSdp1K8H6x8fbOy06t2VsZHhMHf-1x7Y/edit?usp=sharing"",""แผน!GC82"")"),16)</f>
        <v>16</v>
      </c>
      <c r="J743" s="723">
        <v>0</v>
      </c>
      <c r="K743" s="630">
        <f ca="1">IF(I743&gt;0,J743*100/I743,0)</f>
        <v>0</v>
      </c>
      <c r="L743" s="692"/>
      <c r="M743" s="624"/>
      <c r="N743" s="624"/>
      <c r="O743" s="624"/>
      <c r="P743" s="624"/>
      <c r="Q743" s="624"/>
      <c r="R743" s="624"/>
      <c r="S743" s="624"/>
      <c r="T743" s="624"/>
      <c r="U743" s="624"/>
    </row>
    <row r="744" spans="1:21" ht="18.75" x14ac:dyDescent="0.25">
      <c r="A744" s="636"/>
      <c r="B744" s="637"/>
      <c r="C744" s="637"/>
      <c r="D744" s="637"/>
      <c r="E744" s="755" t="s">
        <v>274</v>
      </c>
      <c r="F744" s="637"/>
      <c r="G744" s="639"/>
      <c r="H744" s="690"/>
      <c r="I744" s="623"/>
      <c r="J744" s="623"/>
      <c r="K744" s="624"/>
      <c r="L744" s="692"/>
      <c r="M744" s="624"/>
      <c r="N744" s="624"/>
      <c r="O744" s="624"/>
      <c r="P744" s="624"/>
      <c r="Q744" s="624"/>
      <c r="R744" s="624"/>
      <c r="S744" s="624"/>
      <c r="T744" s="624"/>
      <c r="U744" s="624"/>
    </row>
    <row r="745" spans="1:21" ht="18.75" x14ac:dyDescent="0.25">
      <c r="A745" s="636"/>
      <c r="B745" s="637"/>
      <c r="C745" s="637"/>
      <c r="D745" s="637"/>
      <c r="E745" s="637"/>
      <c r="F745" s="755" t="s">
        <v>271</v>
      </c>
      <c r="G745" s="639"/>
      <c r="H745" s="628" t="s">
        <v>46</v>
      </c>
      <c r="I745" s="691">
        <f ca="1">IFERROR(__xludf.DUMMYFUNCTION("IMPORTRANGE(""https://docs.google.com/spreadsheets/d/1eHaY18a8A9IcSdp1K8H6x8fbOy06t2VsZHhMHf-1x7Y/edit?usp=sharing"",""แผน!GD82"")"),40)</f>
        <v>40</v>
      </c>
      <c r="J745" s="723">
        <v>0</v>
      </c>
      <c r="K745" s="630">
        <f ca="1">IF(I745&gt;0,J745*100/I745,0)</f>
        <v>0</v>
      </c>
      <c r="L745" s="692"/>
      <c r="M745" s="624"/>
      <c r="N745" s="624"/>
      <c r="O745" s="624"/>
      <c r="P745" s="624"/>
      <c r="Q745" s="624"/>
      <c r="R745" s="624"/>
      <c r="S745" s="624"/>
      <c r="T745" s="624"/>
      <c r="U745" s="624"/>
    </row>
    <row r="746" spans="1:21" ht="18.75" x14ac:dyDescent="0.25">
      <c r="A746" s="636"/>
      <c r="B746" s="637"/>
      <c r="C746" s="637"/>
      <c r="D746" s="637"/>
      <c r="E746" s="637"/>
      <c r="F746" s="755" t="s">
        <v>304</v>
      </c>
      <c r="G746" s="639"/>
      <c r="H746" s="628" t="s">
        <v>35</v>
      </c>
      <c r="I746" s="623"/>
      <c r="J746" s="723">
        <v>0</v>
      </c>
      <c r="K746" s="624"/>
      <c r="L746" s="692"/>
      <c r="M746" s="624"/>
      <c r="N746" s="624"/>
      <c r="O746" s="624"/>
      <c r="P746" s="624"/>
      <c r="Q746" s="624"/>
      <c r="R746" s="624"/>
      <c r="S746" s="624"/>
      <c r="T746" s="624"/>
      <c r="U746" s="624"/>
    </row>
    <row r="747" spans="1:21" ht="18.75" x14ac:dyDescent="0.25">
      <c r="A747" s="636"/>
      <c r="B747" s="637"/>
      <c r="C747" s="637"/>
      <c r="D747" s="637"/>
      <c r="E747" s="637"/>
      <c r="F747" s="755" t="s">
        <v>305</v>
      </c>
      <c r="G747" s="639"/>
      <c r="H747" s="628" t="s">
        <v>35</v>
      </c>
      <c r="I747" s="691">
        <f ca="1">IFERROR(__xludf.DUMMYFUNCTION("IMPORTRANGE(""https://docs.google.com/spreadsheets/d/1eHaY18a8A9IcSdp1K8H6x8fbOy06t2VsZHhMHf-1x7Y/edit?usp=sharing"",""แผน!GE82"")"),4)</f>
        <v>4</v>
      </c>
      <c r="J747" s="723">
        <v>0</v>
      </c>
      <c r="K747" s="630">
        <f ca="1">IF(I747&gt;0,J747*100/I747,0)</f>
        <v>0</v>
      </c>
      <c r="L747" s="692"/>
      <c r="M747" s="624"/>
      <c r="N747" s="624"/>
      <c r="O747" s="624"/>
      <c r="P747" s="624"/>
      <c r="Q747" s="624"/>
      <c r="R747" s="624"/>
      <c r="S747" s="624"/>
      <c r="T747" s="624"/>
      <c r="U747" s="624"/>
    </row>
    <row r="748" spans="1:21" ht="18.75" x14ac:dyDescent="0.25">
      <c r="A748" s="636"/>
      <c r="B748" s="637"/>
      <c r="C748" s="637"/>
      <c r="D748" s="637"/>
      <c r="E748" s="755" t="s">
        <v>277</v>
      </c>
      <c r="F748" s="756"/>
      <c r="G748" s="639"/>
      <c r="H748" s="690"/>
      <c r="I748" s="623"/>
      <c r="J748" s="623"/>
      <c r="K748" s="624"/>
      <c r="L748" s="692"/>
      <c r="M748" s="624"/>
      <c r="N748" s="624"/>
      <c r="O748" s="624"/>
      <c r="P748" s="624"/>
      <c r="Q748" s="624"/>
      <c r="R748" s="624"/>
      <c r="S748" s="624"/>
      <c r="T748" s="624"/>
      <c r="U748" s="624"/>
    </row>
    <row r="749" spans="1:21" ht="18.75" x14ac:dyDescent="0.25">
      <c r="A749" s="636"/>
      <c r="B749" s="637"/>
      <c r="C749" s="637"/>
      <c r="D749" s="637"/>
      <c r="E749" s="637"/>
      <c r="F749" s="755" t="s">
        <v>306</v>
      </c>
      <c r="G749" s="639"/>
      <c r="H749" s="628" t="s">
        <v>35</v>
      </c>
      <c r="I749" s="623"/>
      <c r="J749" s="723">
        <v>0</v>
      </c>
      <c r="K749" s="624"/>
      <c r="L749" s="692"/>
      <c r="M749" s="624"/>
      <c r="N749" s="624"/>
      <c r="O749" s="624"/>
      <c r="P749" s="624"/>
      <c r="Q749" s="624"/>
      <c r="R749" s="624"/>
      <c r="S749" s="624"/>
      <c r="T749" s="624"/>
      <c r="U749" s="624"/>
    </row>
    <row r="750" spans="1:21" ht="18.75" x14ac:dyDescent="0.25">
      <c r="A750" s="636"/>
      <c r="B750" s="637"/>
      <c r="C750" s="637"/>
      <c r="D750" s="637"/>
      <c r="E750" s="637"/>
      <c r="F750" s="755" t="s">
        <v>307</v>
      </c>
      <c r="G750" s="639"/>
      <c r="H750" s="628" t="s">
        <v>35</v>
      </c>
      <c r="I750" s="691">
        <f ca="1">IFERROR(__xludf.DUMMYFUNCTION("IMPORTRANGE(""https://docs.google.com/spreadsheets/d/1eHaY18a8A9IcSdp1K8H6x8fbOy06t2VsZHhMHf-1x7Y/edit?usp=sharing"",""แผน!GF82"")"),1)</f>
        <v>1</v>
      </c>
      <c r="J750" s="723">
        <v>0</v>
      </c>
      <c r="K750" s="630">
        <f ca="1">IF(I750&gt;0,J750*100/I750,0)</f>
        <v>0</v>
      </c>
      <c r="L750" s="692"/>
      <c r="M750" s="624"/>
      <c r="N750" s="624"/>
      <c r="O750" s="624"/>
      <c r="P750" s="624"/>
      <c r="Q750" s="624"/>
      <c r="R750" s="624"/>
      <c r="S750" s="624"/>
      <c r="T750" s="624"/>
      <c r="U750" s="624"/>
    </row>
    <row r="751" spans="1:21" ht="19.5" x14ac:dyDescent="0.3">
      <c r="A751" s="636"/>
      <c r="B751" s="637"/>
      <c r="C751" s="637"/>
      <c r="D751" s="757" t="s">
        <v>50</v>
      </c>
      <c r="E751" s="637"/>
      <c r="F751" s="756"/>
      <c r="G751" s="639"/>
      <c r="H751" s="690"/>
      <c r="I751" s="623"/>
      <c r="J751" s="623"/>
      <c r="K751" s="624"/>
      <c r="L751" s="692"/>
      <c r="M751" s="624"/>
      <c r="N751" s="624"/>
      <c r="O751" s="624"/>
      <c r="P751" s="624"/>
      <c r="Q751" s="624"/>
      <c r="R751" s="624"/>
      <c r="S751" s="624"/>
      <c r="T751" s="624"/>
      <c r="U751" s="624"/>
    </row>
    <row r="752" spans="1:21" ht="18.75" x14ac:dyDescent="0.25">
      <c r="A752" s="636"/>
      <c r="B752" s="637"/>
      <c r="C752" s="637"/>
      <c r="D752" s="637"/>
      <c r="E752" s="755" t="s">
        <v>270</v>
      </c>
      <c r="F752" s="756"/>
      <c r="G752" s="639"/>
      <c r="H752" s="690"/>
      <c r="I752" s="623"/>
      <c r="J752" s="623"/>
      <c r="K752" s="624"/>
      <c r="L752" s="692"/>
      <c r="M752" s="624"/>
      <c r="N752" s="624"/>
      <c r="O752" s="624"/>
      <c r="P752" s="624"/>
      <c r="Q752" s="624"/>
      <c r="R752" s="624"/>
      <c r="S752" s="624"/>
      <c r="T752" s="624"/>
      <c r="U752" s="624"/>
    </row>
    <row r="753" spans="1:21" ht="18.75" x14ac:dyDescent="0.25">
      <c r="A753" s="636"/>
      <c r="B753" s="637"/>
      <c r="C753" s="637"/>
      <c r="D753" s="637"/>
      <c r="E753" s="637"/>
      <c r="F753" s="721" t="s">
        <v>308</v>
      </c>
      <c r="G753" s="639"/>
      <c r="H753" s="628" t="s">
        <v>46</v>
      </c>
      <c r="I753" s="691">
        <f ca="1">IFERROR(__xludf.DUMMYFUNCTION("IMPORTRANGE(""https://docs.google.com/spreadsheets/d/1eHaY18a8A9IcSdp1K8H6x8fbOy06t2VsZHhMHf-1x7Y/edit?usp=sharing"",""แผน!GB82"")"),160)</f>
        <v>160</v>
      </c>
      <c r="J753" s="723">
        <v>0</v>
      </c>
      <c r="K753" s="630">
        <f ca="1">IF(I753&gt;0,J753*100/I753,0)</f>
        <v>0</v>
      </c>
      <c r="L753" s="692"/>
      <c r="M753" s="624"/>
      <c r="N753" s="624"/>
      <c r="O753" s="624"/>
      <c r="P753" s="624"/>
      <c r="Q753" s="624"/>
      <c r="R753" s="624"/>
      <c r="S753" s="624"/>
      <c r="T753" s="624"/>
      <c r="U753" s="624"/>
    </row>
    <row r="754" spans="1:21" ht="18.75" x14ac:dyDescent="0.25">
      <c r="A754" s="636"/>
      <c r="B754" s="637"/>
      <c r="C754" s="637"/>
      <c r="D754" s="637"/>
      <c r="E754" s="637"/>
      <c r="F754" s="721" t="s">
        <v>309</v>
      </c>
      <c r="G754" s="639"/>
      <c r="H754" s="628" t="s">
        <v>46</v>
      </c>
      <c r="I754" s="623"/>
      <c r="J754" s="723">
        <v>0</v>
      </c>
      <c r="K754" s="624"/>
      <c r="L754" s="692"/>
      <c r="M754" s="624"/>
      <c r="N754" s="624"/>
      <c r="O754" s="624"/>
      <c r="P754" s="624"/>
      <c r="Q754" s="624"/>
      <c r="R754" s="624"/>
      <c r="S754" s="624"/>
      <c r="T754" s="624"/>
      <c r="U754" s="624"/>
    </row>
    <row r="755" spans="1:21" ht="18.75" x14ac:dyDescent="0.25">
      <c r="A755" s="636"/>
      <c r="B755" s="637"/>
      <c r="C755" s="637"/>
      <c r="D755" s="637"/>
      <c r="E755" s="755" t="s">
        <v>274</v>
      </c>
      <c r="F755" s="756"/>
      <c r="G755" s="639"/>
      <c r="H755" s="690"/>
      <c r="I755" s="623"/>
      <c r="J755" s="623"/>
      <c r="K755" s="624"/>
      <c r="L755" s="692"/>
      <c r="M755" s="624"/>
      <c r="N755" s="624"/>
      <c r="O755" s="624"/>
      <c r="P755" s="624"/>
      <c r="Q755" s="624"/>
      <c r="R755" s="624"/>
      <c r="S755" s="624"/>
      <c r="T755" s="624"/>
      <c r="U755" s="624"/>
    </row>
    <row r="756" spans="1:21" ht="18.75" x14ac:dyDescent="0.25">
      <c r="A756" s="636"/>
      <c r="B756" s="637"/>
      <c r="C756" s="637"/>
      <c r="D756" s="637"/>
      <c r="E756" s="756"/>
      <c r="F756" s="721" t="s">
        <v>310</v>
      </c>
      <c r="G756" s="639"/>
      <c r="H756" s="628" t="s">
        <v>46</v>
      </c>
      <c r="I756" s="691">
        <f ca="1">IFERROR(__xludf.DUMMYFUNCTION("IMPORTRANGE(""https://docs.google.com/spreadsheets/d/1eHaY18a8A9IcSdp1K8H6x8fbOy06t2VsZHhMHf-1x7Y/edit?usp=sharing"",""แผน!GD82"")"),40)</f>
        <v>40</v>
      </c>
      <c r="J756" s="723">
        <v>0</v>
      </c>
      <c r="K756" s="630">
        <f ca="1">IF(I756&gt;0,J756*100/I756,0)</f>
        <v>0</v>
      </c>
      <c r="L756" s="692"/>
      <c r="M756" s="624"/>
      <c r="N756" s="624"/>
      <c r="O756" s="624"/>
      <c r="P756" s="624"/>
      <c r="Q756" s="624"/>
      <c r="R756" s="624"/>
      <c r="S756" s="624"/>
      <c r="T756" s="624"/>
      <c r="U756" s="624"/>
    </row>
    <row r="757" spans="1:21" ht="18.75" x14ac:dyDescent="0.25">
      <c r="A757" s="636"/>
      <c r="B757" s="637"/>
      <c r="C757" s="637"/>
      <c r="D757" s="637"/>
      <c r="E757" s="756"/>
      <c r="F757" s="721" t="s">
        <v>311</v>
      </c>
      <c r="G757" s="639"/>
      <c r="H757" s="628" t="s">
        <v>46</v>
      </c>
      <c r="I757" s="623"/>
      <c r="J757" s="723">
        <v>0</v>
      </c>
      <c r="K757" s="624"/>
      <c r="L757" s="692"/>
      <c r="M757" s="624"/>
      <c r="N757" s="624"/>
      <c r="O757" s="624"/>
      <c r="P757" s="624"/>
      <c r="Q757" s="624"/>
      <c r="R757" s="624"/>
      <c r="S757" s="624"/>
      <c r="T757" s="624"/>
      <c r="U757" s="624"/>
    </row>
    <row r="758" spans="1:21" ht="18.75" x14ac:dyDescent="0.25">
      <c r="A758" s="171"/>
      <c r="B758" s="171"/>
      <c r="C758" s="171"/>
      <c r="D758" s="171"/>
      <c r="E758" s="172" t="s">
        <v>284</v>
      </c>
      <c r="F758" s="173"/>
      <c r="G758" s="174"/>
      <c r="H758" s="462" t="s">
        <v>35</v>
      </c>
      <c r="I758" s="463"/>
      <c r="J758" s="177">
        <v>0</v>
      </c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</row>
    <row r="759" spans="1:21" ht="19.5" x14ac:dyDescent="0.3">
      <c r="A759" s="420"/>
      <c r="B759" s="421" t="s">
        <v>285</v>
      </c>
      <c r="C759" s="420"/>
      <c r="D759" s="422"/>
      <c r="E759" s="422"/>
      <c r="F759" s="422"/>
      <c r="G759" s="423"/>
      <c r="H759" s="447" t="s">
        <v>35</v>
      </c>
      <c r="I759" s="448">
        <f t="shared" ref="I759:J759" ca="1" si="451">I773</f>
        <v>50</v>
      </c>
      <c r="J759" s="448">
        <f t="shared" si="451"/>
        <v>0</v>
      </c>
      <c r="K759" s="449">
        <f t="shared" ref="K759:K760" ca="1" si="452">IF(I759&gt;0,J759*100/I759,0)</f>
        <v>0</v>
      </c>
      <c r="L759" s="745"/>
      <c r="M759" s="426"/>
      <c r="N759" s="426"/>
      <c r="O759" s="426"/>
      <c r="P759" s="426"/>
      <c r="Q759" s="426"/>
      <c r="R759" s="426"/>
      <c r="S759" s="426"/>
      <c r="T759" s="426"/>
      <c r="U759" s="426"/>
    </row>
    <row r="760" spans="1:21" ht="19.5" x14ac:dyDescent="0.3">
      <c r="A760" s="460"/>
      <c r="B760" s="420"/>
      <c r="C760" s="420"/>
      <c r="D760" s="422"/>
      <c r="E760" s="422"/>
      <c r="F760" s="422"/>
      <c r="G760" s="423"/>
      <c r="H760" s="447" t="s">
        <v>46</v>
      </c>
      <c r="I760" s="448">
        <f t="shared" ref="I760:J760" ca="1" si="453">I775</f>
        <v>100</v>
      </c>
      <c r="J760" s="448">
        <f t="shared" si="453"/>
        <v>0</v>
      </c>
      <c r="K760" s="449">
        <f t="shared" ca="1" si="452"/>
        <v>0</v>
      </c>
      <c r="L760" s="745"/>
      <c r="M760" s="426"/>
      <c r="N760" s="426"/>
      <c r="O760" s="426"/>
      <c r="P760" s="426"/>
      <c r="Q760" s="426"/>
      <c r="R760" s="426"/>
      <c r="S760" s="426"/>
      <c r="T760" s="426"/>
      <c r="U760" s="426"/>
    </row>
    <row r="761" spans="1:21" ht="19.5" x14ac:dyDescent="0.3">
      <c r="A761" s="128"/>
      <c r="B761" s="159"/>
      <c r="C761" s="190" t="s">
        <v>18</v>
      </c>
      <c r="D761" s="747" t="s">
        <v>19</v>
      </c>
      <c r="E761" s="490"/>
      <c r="F761" s="490"/>
      <c r="G761" s="491"/>
      <c r="H761" s="239" t="s">
        <v>14</v>
      </c>
      <c r="I761" s="44"/>
      <c r="J761" s="44"/>
      <c r="K761" s="45"/>
      <c r="L761" s="545">
        <f t="shared" ref="L761:N761" si="454">L762+L763</f>
        <v>0</v>
      </c>
      <c r="M761" s="132">
        <f t="shared" si="454"/>
        <v>0</v>
      </c>
      <c r="N761" s="132">
        <f t="shared" si="454"/>
        <v>0</v>
      </c>
      <c r="O761" s="132">
        <f t="shared" ref="O761:O769" si="455">IF(L761&gt;0,N761*100/L761,0)</f>
        <v>0</v>
      </c>
      <c r="P761" s="132">
        <f t="shared" ref="P761:P769" si="456">IF(M761&gt;0,N761*100/M761,0)</f>
        <v>0</v>
      </c>
      <c r="Q761" s="132">
        <f t="shared" ref="Q761:S761" ca="1" si="457">Q762+Q763</f>
        <v>397800</v>
      </c>
      <c r="R761" s="132">
        <f t="shared" ca="1" si="457"/>
        <v>397800</v>
      </c>
      <c r="S761" s="132">
        <f t="shared" ca="1" si="457"/>
        <v>146670</v>
      </c>
      <c r="T761" s="132">
        <f t="shared" ref="T761:T769" ca="1" si="458">IF(Q761&gt;0,S761*100/Q761,0)</f>
        <v>36.87028657616893</v>
      </c>
      <c r="U761" s="132">
        <f t="shared" ref="U761:U769" ca="1" si="459">IF(R761&gt;0,S761*100/R761,0)</f>
        <v>36.87028657616893</v>
      </c>
    </row>
    <row r="762" spans="1:21" ht="18.75" hidden="1" x14ac:dyDescent="0.25">
      <c r="A762" s="128"/>
      <c r="B762" s="159"/>
      <c r="C762" s="159"/>
      <c r="D762" s="169"/>
      <c r="E762" s="157" t="s">
        <v>158</v>
      </c>
      <c r="F762" s="199"/>
      <c r="G762" s="42"/>
      <c r="H762" s="160" t="s">
        <v>14</v>
      </c>
      <c r="I762" s="44"/>
      <c r="J762" s="44"/>
      <c r="K762" s="45"/>
      <c r="L762" s="521">
        <f t="shared" ref="L762:N763" si="460">L765+L768</f>
        <v>0</v>
      </c>
      <c r="M762" s="48">
        <f t="shared" si="460"/>
        <v>0</v>
      </c>
      <c r="N762" s="48">
        <f t="shared" si="460"/>
        <v>0</v>
      </c>
      <c r="O762" s="48">
        <f t="shared" si="455"/>
        <v>0</v>
      </c>
      <c r="P762" s="48">
        <f t="shared" si="456"/>
        <v>0</v>
      </c>
      <c r="Q762" s="48">
        <f t="shared" ref="Q762:S763" si="461">Q765+Q768</f>
        <v>0</v>
      </c>
      <c r="R762" s="48">
        <f t="shared" si="461"/>
        <v>0</v>
      </c>
      <c r="S762" s="48">
        <f t="shared" si="461"/>
        <v>0</v>
      </c>
      <c r="T762" s="48">
        <f t="shared" si="458"/>
        <v>0</v>
      </c>
      <c r="U762" s="48">
        <f t="shared" si="459"/>
        <v>0</v>
      </c>
    </row>
    <row r="763" spans="1:21" ht="18.75" hidden="1" x14ac:dyDescent="0.25">
      <c r="A763" s="128"/>
      <c r="B763" s="159"/>
      <c r="C763" s="187"/>
      <c r="D763" s="169"/>
      <c r="E763" s="270" t="s">
        <v>159</v>
      </c>
      <c r="F763" s="199"/>
      <c r="G763" s="42"/>
      <c r="H763" s="134" t="s">
        <v>14</v>
      </c>
      <c r="I763" s="44"/>
      <c r="J763" s="44"/>
      <c r="K763" s="45"/>
      <c r="L763" s="519">
        <f t="shared" si="460"/>
        <v>0</v>
      </c>
      <c r="M763" s="46">
        <f t="shared" si="460"/>
        <v>0</v>
      </c>
      <c r="N763" s="46">
        <f t="shared" si="460"/>
        <v>0</v>
      </c>
      <c r="O763" s="46">
        <f t="shared" si="455"/>
        <v>0</v>
      </c>
      <c r="P763" s="46">
        <f t="shared" si="456"/>
        <v>0</v>
      </c>
      <c r="Q763" s="46">
        <f t="shared" ca="1" si="461"/>
        <v>397800</v>
      </c>
      <c r="R763" s="46">
        <f t="shared" ca="1" si="461"/>
        <v>397800</v>
      </c>
      <c r="S763" s="46">
        <f t="shared" ca="1" si="461"/>
        <v>146670</v>
      </c>
      <c r="T763" s="46">
        <f t="shared" ca="1" si="458"/>
        <v>36.87028657616893</v>
      </c>
      <c r="U763" s="46">
        <f t="shared" ca="1" si="459"/>
        <v>36.87028657616893</v>
      </c>
    </row>
    <row r="764" spans="1:21" ht="18.75" x14ac:dyDescent="0.25">
      <c r="A764" s="128"/>
      <c r="B764" s="159"/>
      <c r="C764" s="187"/>
      <c r="D764" s="41" t="s">
        <v>22</v>
      </c>
      <c r="E764" s="199"/>
      <c r="F764" s="199"/>
      <c r="G764" s="42"/>
      <c r="H764" s="134" t="s">
        <v>14</v>
      </c>
      <c r="I764" s="135"/>
      <c r="J764" s="135"/>
      <c r="K764" s="136"/>
      <c r="L764" s="519">
        <f t="shared" ref="L764:N764" si="462">L765+L766</f>
        <v>0</v>
      </c>
      <c r="M764" s="46">
        <f t="shared" si="462"/>
        <v>0</v>
      </c>
      <c r="N764" s="46">
        <f t="shared" si="462"/>
        <v>0</v>
      </c>
      <c r="O764" s="46">
        <f t="shared" si="455"/>
        <v>0</v>
      </c>
      <c r="P764" s="46">
        <f t="shared" si="456"/>
        <v>0</v>
      </c>
      <c r="Q764" s="46">
        <f t="shared" ref="Q764:S764" ca="1" si="463">Q765+Q766</f>
        <v>397800</v>
      </c>
      <c r="R764" s="46">
        <f t="shared" ca="1" si="463"/>
        <v>397800</v>
      </c>
      <c r="S764" s="46">
        <f t="shared" ca="1" si="463"/>
        <v>146670</v>
      </c>
      <c r="T764" s="46">
        <f t="shared" ca="1" si="458"/>
        <v>36.87028657616893</v>
      </c>
      <c r="U764" s="46">
        <f t="shared" ca="1" si="459"/>
        <v>36.87028657616893</v>
      </c>
    </row>
    <row r="765" spans="1:21" ht="18.75" hidden="1" x14ac:dyDescent="0.25">
      <c r="A765" s="128"/>
      <c r="B765" s="159"/>
      <c r="C765" s="187"/>
      <c r="D765" s="169"/>
      <c r="E765" s="157" t="s">
        <v>158</v>
      </c>
      <c r="F765" s="199"/>
      <c r="G765" s="42"/>
      <c r="H765" s="160" t="s">
        <v>14</v>
      </c>
      <c r="I765" s="44"/>
      <c r="J765" s="44"/>
      <c r="K765" s="45"/>
      <c r="L765" s="521">
        <v>0</v>
      </c>
      <c r="M765" s="48">
        <v>0</v>
      </c>
      <c r="N765" s="48">
        <v>0</v>
      </c>
      <c r="O765" s="48">
        <f t="shared" si="455"/>
        <v>0</v>
      </c>
      <c r="P765" s="48">
        <f t="shared" si="456"/>
        <v>0</v>
      </c>
      <c r="Q765" s="48">
        <v>0</v>
      </c>
      <c r="R765" s="48">
        <v>0</v>
      </c>
      <c r="S765" s="48">
        <v>0</v>
      </c>
      <c r="T765" s="48">
        <f t="shared" si="458"/>
        <v>0</v>
      </c>
      <c r="U765" s="48">
        <f t="shared" si="459"/>
        <v>0</v>
      </c>
    </row>
    <row r="766" spans="1:21" ht="18.75" hidden="1" x14ac:dyDescent="0.25">
      <c r="A766" s="128"/>
      <c r="B766" s="159"/>
      <c r="C766" s="187"/>
      <c r="D766" s="169"/>
      <c r="E766" s="270" t="s">
        <v>159</v>
      </c>
      <c r="F766" s="199"/>
      <c r="G766" s="42"/>
      <c r="H766" s="134" t="s">
        <v>14</v>
      </c>
      <c r="I766" s="44"/>
      <c r="J766" s="44"/>
      <c r="K766" s="45"/>
      <c r="L766" s="519">
        <v>0</v>
      </c>
      <c r="M766" s="46">
        <v>0</v>
      </c>
      <c r="N766" s="46">
        <v>0</v>
      </c>
      <c r="O766" s="46">
        <f t="shared" si="455"/>
        <v>0</v>
      </c>
      <c r="P766" s="46">
        <f t="shared" si="456"/>
        <v>0</v>
      </c>
      <c r="Q766" s="46">
        <f ca="1">IFERROR(__xludf.DUMMYFUNCTION("IMPORTRANGE(""https://docs.google.com/spreadsheets/d/1ItG2mGa2ceCfYo0BwxsXqNm01IGEUdYcSSLTEv9YCik/edit?usp=sharing"",""เบิกจ่ายกองทุน!U82"")"),397800)</f>
        <v>397800</v>
      </c>
      <c r="R766" s="46">
        <f ca="1">IFERROR(__xludf.DUMMYFUNCTION("IMPORTRANGE(""https://docs.google.com/spreadsheets/d/1ItG2mGa2ceCfYo0BwxsXqNm01IGEUdYcSSLTEv9YCik/edit?usp=sharing"",""เบิกจ่ายกองทุน!V82"")"),397800)</f>
        <v>397800</v>
      </c>
      <c r="S766" s="46">
        <f ca="1">IFERROR(__xludf.DUMMYFUNCTION("IMPORTRANGE(""https://docs.google.com/spreadsheets/d/1ItG2mGa2ceCfYo0BwxsXqNm01IGEUdYcSSLTEv9YCik/edit?usp=sharing"",""เบิกจ่ายกองทุน!W82"")"),146670)</f>
        <v>146670</v>
      </c>
      <c r="T766" s="46">
        <f t="shared" ca="1" si="458"/>
        <v>36.87028657616893</v>
      </c>
      <c r="U766" s="46">
        <f t="shared" ca="1" si="459"/>
        <v>36.87028657616893</v>
      </c>
    </row>
    <row r="767" spans="1:21" ht="18.75" x14ac:dyDescent="0.25">
      <c r="A767" s="128"/>
      <c r="B767" s="159"/>
      <c r="C767" s="159"/>
      <c r="D767" s="41" t="s">
        <v>23</v>
      </c>
      <c r="E767" s="159"/>
      <c r="F767" s="199"/>
      <c r="G767" s="42"/>
      <c r="H767" s="137" t="s">
        <v>14</v>
      </c>
      <c r="I767" s="135"/>
      <c r="J767" s="135"/>
      <c r="K767" s="136"/>
      <c r="L767" s="519">
        <f t="shared" ref="L767:N767" si="464">L768+L769</f>
        <v>0</v>
      </c>
      <c r="M767" s="46">
        <f t="shared" si="464"/>
        <v>0</v>
      </c>
      <c r="N767" s="46">
        <f t="shared" si="464"/>
        <v>0</v>
      </c>
      <c r="O767" s="46">
        <f t="shared" si="455"/>
        <v>0</v>
      </c>
      <c r="P767" s="46">
        <f t="shared" si="456"/>
        <v>0</v>
      </c>
      <c r="Q767" s="46">
        <f t="shared" ref="Q767:S767" si="465">Q768+Q769</f>
        <v>0</v>
      </c>
      <c r="R767" s="46">
        <f t="shared" si="465"/>
        <v>0</v>
      </c>
      <c r="S767" s="46">
        <f t="shared" si="465"/>
        <v>0</v>
      </c>
      <c r="T767" s="46">
        <f t="shared" si="458"/>
        <v>0</v>
      </c>
      <c r="U767" s="46">
        <f t="shared" si="459"/>
        <v>0</v>
      </c>
    </row>
    <row r="768" spans="1:21" ht="18.75" hidden="1" x14ac:dyDescent="0.25">
      <c r="A768" s="128"/>
      <c r="B768" s="159"/>
      <c r="C768" s="159"/>
      <c r="D768" s="159"/>
      <c r="E768" s="455" t="s">
        <v>20</v>
      </c>
      <c r="F768" s="199"/>
      <c r="G768" s="42"/>
      <c r="H768" s="160" t="s">
        <v>14</v>
      </c>
      <c r="I768" s="135"/>
      <c r="J768" s="135"/>
      <c r="K768" s="136"/>
      <c r="L768" s="521">
        <v>0</v>
      </c>
      <c r="M768" s="48">
        <v>0</v>
      </c>
      <c r="N768" s="48">
        <v>0</v>
      </c>
      <c r="O768" s="48">
        <f t="shared" si="455"/>
        <v>0</v>
      </c>
      <c r="P768" s="48">
        <f t="shared" si="456"/>
        <v>0</v>
      </c>
      <c r="Q768" s="48">
        <v>0</v>
      </c>
      <c r="R768" s="48">
        <v>0</v>
      </c>
      <c r="S768" s="48">
        <v>0</v>
      </c>
      <c r="T768" s="48">
        <f t="shared" si="458"/>
        <v>0</v>
      </c>
      <c r="U768" s="48">
        <f t="shared" si="459"/>
        <v>0</v>
      </c>
    </row>
    <row r="769" spans="1:21" ht="18.75" hidden="1" x14ac:dyDescent="0.25">
      <c r="A769" s="128"/>
      <c r="B769" s="159"/>
      <c r="C769" s="159"/>
      <c r="D769" s="159"/>
      <c r="E769" s="440" t="s">
        <v>21</v>
      </c>
      <c r="F769" s="199"/>
      <c r="G769" s="42"/>
      <c r="H769" s="137" t="s">
        <v>14</v>
      </c>
      <c r="I769" s="135"/>
      <c r="J769" s="135"/>
      <c r="K769" s="136"/>
      <c r="L769" s="519">
        <v>0</v>
      </c>
      <c r="M769" s="46">
        <v>0</v>
      </c>
      <c r="N769" s="46">
        <v>0</v>
      </c>
      <c r="O769" s="46">
        <f t="shared" si="455"/>
        <v>0</v>
      </c>
      <c r="P769" s="46">
        <f t="shared" si="456"/>
        <v>0</v>
      </c>
      <c r="Q769" s="46">
        <v>0</v>
      </c>
      <c r="R769" s="46">
        <v>0</v>
      </c>
      <c r="S769" s="46">
        <v>0</v>
      </c>
      <c r="T769" s="46">
        <f t="shared" si="458"/>
        <v>0</v>
      </c>
      <c r="U769" s="46">
        <f t="shared" si="459"/>
        <v>0</v>
      </c>
    </row>
    <row r="770" spans="1:21" ht="19.5" x14ac:dyDescent="0.3">
      <c r="A770" s="138"/>
      <c r="B770" s="139"/>
      <c r="C770" s="464" t="s">
        <v>18</v>
      </c>
      <c r="D770" s="748" t="s">
        <v>38</v>
      </c>
      <c r="E770" s="219"/>
      <c r="F770" s="141"/>
      <c r="G770" s="142"/>
      <c r="H770" s="191"/>
      <c r="I770" s="44"/>
      <c r="J770" s="44"/>
      <c r="K770" s="45"/>
      <c r="L770" s="522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03" t="s">
        <v>286</v>
      </c>
      <c r="E771" s="139"/>
      <c r="F771" s="169"/>
      <c r="G771" s="143"/>
      <c r="H771" s="401" t="s">
        <v>35</v>
      </c>
      <c r="I771" s="340">
        <f ca="1">IFERROR(__xludf.DUMMYFUNCTION("IMPORTRANGE(""https://docs.google.com/spreadsheets/d/1eHaY18a8A9IcSdp1K8H6x8fbOy06t2VsZHhMHf-1x7Y/edit?usp=sharing"",""แผน!FI82"")"),0)</f>
        <v>0</v>
      </c>
      <c r="J771" s="340">
        <v>0</v>
      </c>
      <c r="K771" s="48">
        <f ca="1">IF(I771&gt;0,J771*100/I771,0)</f>
        <v>0</v>
      </c>
      <c r="L771" s="522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03" t="s">
        <v>287</v>
      </c>
      <c r="E772" s="139"/>
      <c r="F772" s="169"/>
      <c r="G772" s="143"/>
      <c r="H772" s="191"/>
      <c r="I772" s="44"/>
      <c r="J772" s="44"/>
      <c r="K772" s="45"/>
      <c r="L772" s="522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36" t="s">
        <v>288</v>
      </c>
      <c r="E773" s="139"/>
      <c r="F773" s="169"/>
      <c r="G773" s="143"/>
      <c r="H773" s="137" t="s">
        <v>35</v>
      </c>
      <c r="I773" s="152">
        <f ca="1">IFERROR(__xludf.DUMMYFUNCTION("IMPORTRANGE(""https://docs.google.com/spreadsheets/d/1eHaY18a8A9IcSdp1K8H6x8fbOy06t2VsZHhMHf-1x7Y/edit?usp=sharing"",""แผน!FQ82"")"),50)</f>
        <v>50</v>
      </c>
      <c r="J773" s="168">
        <v>0</v>
      </c>
      <c r="K773" s="46">
        <f ca="1">IF(I773&gt;0,J773*100/I773,0)</f>
        <v>0</v>
      </c>
      <c r="L773" s="522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36" t="s">
        <v>289</v>
      </c>
      <c r="E774" s="139"/>
      <c r="F774" s="169"/>
      <c r="G774" s="143"/>
      <c r="H774" s="191"/>
      <c r="I774" s="44"/>
      <c r="J774" s="44"/>
      <c r="K774" s="45"/>
      <c r="L774" s="522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36" t="s">
        <v>290</v>
      </c>
      <c r="E775" s="139"/>
      <c r="F775" s="169"/>
      <c r="G775" s="143"/>
      <c r="H775" s="137" t="s">
        <v>46</v>
      </c>
      <c r="I775" s="152">
        <f ca="1">IFERROR(__xludf.DUMMYFUNCTION("IMPORTRANGE(""https://docs.google.com/spreadsheets/d/1eHaY18a8A9IcSdp1K8H6x8fbOy06t2VsZHhMHf-1x7Y/edit?usp=sharing"",""แผน!FR82"")"),100)</f>
        <v>100</v>
      </c>
      <c r="J775" s="168">
        <v>0</v>
      </c>
      <c r="K775" s="46">
        <f ca="1">IF(I775&gt;0,J775*100/I775,0)</f>
        <v>0</v>
      </c>
      <c r="L775" s="522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138"/>
      <c r="B776" s="139"/>
      <c r="C776" s="139"/>
      <c r="D776" s="436" t="s">
        <v>50</v>
      </c>
      <c r="E776" s="169"/>
      <c r="F776" s="199"/>
      <c r="G776" s="42"/>
      <c r="H776" s="137" t="s">
        <v>46</v>
      </c>
      <c r="I776" s="152">
        <f ca="1">IFERROR(__xludf.DUMMYFUNCTION("IMPORTRANGE(""https://docs.google.com/spreadsheets/d/1eHaY18a8A9IcSdp1K8H6x8fbOy06t2VsZHhMHf-1x7Y/edit?usp=sharing"",""แผน!FS82"")"),100)</f>
        <v>100</v>
      </c>
      <c r="J776" s="168">
        <v>0</v>
      </c>
      <c r="K776" s="45"/>
      <c r="L776" s="522"/>
      <c r="M776" s="45"/>
      <c r="N776" s="45"/>
      <c r="O776" s="45"/>
      <c r="P776" s="45"/>
      <c r="Q776" s="45"/>
      <c r="R776" s="45"/>
      <c r="S776" s="45"/>
      <c r="T776" s="45"/>
      <c r="U776" s="45"/>
    </row>
    <row r="777" spans="1:21" ht="18.75" x14ac:dyDescent="0.25">
      <c r="A777" s="273"/>
      <c r="B777" s="274"/>
      <c r="C777" s="274"/>
      <c r="D777" s="274"/>
      <c r="E777" s="276"/>
      <c r="F777" s="276"/>
      <c r="G777" s="52"/>
      <c r="H777" s="203" t="s">
        <v>35</v>
      </c>
      <c r="I777" s="204">
        <f ca="1">IFERROR(__xludf.DUMMYFUNCTION("IMPORTRANGE(""https://docs.google.com/spreadsheets/d/1eHaY18a8A9IcSdp1K8H6x8fbOy06t2VsZHhMHf-1x7Y/edit?usp=sharing"",""แผน!FT82"")"),50)</f>
        <v>50</v>
      </c>
      <c r="J777" s="360">
        <v>0</v>
      </c>
      <c r="K777" s="5"/>
      <c r="L777" s="523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.5" x14ac:dyDescent="0.3">
      <c r="A778" s="758" t="s">
        <v>291</v>
      </c>
      <c r="B778" s="467"/>
      <c r="C778" s="467"/>
      <c r="D778" s="466"/>
      <c r="E778" s="467"/>
      <c r="F778" s="467"/>
      <c r="G778" s="468"/>
      <c r="H778" s="759" t="str">
        <f ca="1">IFERROR(__xludf.DUMMYFUNCTION("IMPORTRANGE(""https://docs.google.com/spreadsheets/d/1gNPQPjxUj63ZZXIIIm2aX4x3w7PhAZpC9JuXdbpWwUQ/edit?usp=sharing"",""Sheet1!b2"")"),"(ข้อมูล ณ 29 ก.พ. 67)")</f>
        <v>(ข้อมูล ณ 29 ก.พ. 67)</v>
      </c>
      <c r="I778" s="470"/>
      <c r="J778" s="471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</row>
    <row r="779" spans="1:21" ht="18.75" x14ac:dyDescent="0.25">
      <c r="A779" s="39"/>
      <c r="B779" s="270" t="s">
        <v>292</v>
      </c>
      <c r="C779" s="199"/>
      <c r="D779" s="159"/>
      <c r="E779" s="199"/>
      <c r="F779" s="199"/>
      <c r="G779" s="42"/>
      <c r="H779" s="43" t="s">
        <v>14</v>
      </c>
      <c r="I779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9" s="152">
        <f ca="1">IFERROR(__xludf.DUMMYFUNCTION("IMPORTRANGE(""https://docs.google.com/spreadsheets/d/10OvvATaaLtwErnr3qtWFcTmtbfpFEt5Bsqel9sXx0uE/edit?usp=sharing"",""งานกองทุน!F82"")"),239350.97)</f>
        <v>239350.97</v>
      </c>
      <c r="K779" s="46">
        <f t="shared" ref="K779:K786" ca="1" si="466">IF(I779&gt;0,J779*100/I779,0)</f>
        <v>16.541882220824562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199"/>
      <c r="C780" s="199"/>
      <c r="D780" s="159"/>
      <c r="E780" s="199"/>
      <c r="F780" s="199"/>
      <c r="G780" s="42"/>
      <c r="H780" s="43" t="s">
        <v>35</v>
      </c>
      <c r="I780" s="152">
        <f ca="1">IFERROR(__xludf.DUMMYFUNCTION("IMPORTRANGE(""https://docs.google.com/spreadsheets/d/10OvvATaaLtwErnr3qtWFcTmtbfpFEt5Bsqel9sXx0uE/edit?usp=sharing"",""งานกองทุน!C82"")"),130)</f>
        <v>130</v>
      </c>
      <c r="J780" s="152">
        <f ca="1">IFERROR(__xludf.DUMMYFUNCTION("IMPORTRANGE(""https://docs.google.com/spreadsheets/d/10OvvATaaLtwErnr3qtWFcTmtbfpFEt5Bsqel9sXx0uE/edit?usp=sharing"",""งานกองทุน!E82"")"),19)</f>
        <v>19</v>
      </c>
      <c r="K780" s="46">
        <f t="shared" ca="1" si="466"/>
        <v>14.615384615384615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270" t="s">
        <v>293</v>
      </c>
      <c r="C781" s="199"/>
      <c r="D781" s="159"/>
      <c r="E781" s="199"/>
      <c r="F781" s="199"/>
      <c r="G781" s="42"/>
      <c r="H781" s="43" t="s">
        <v>14</v>
      </c>
      <c r="I781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1" s="152">
        <f ca="1">IFERROR(__xludf.DUMMYFUNCTION("IMPORTRANGE(""https://docs.google.com/spreadsheets/d/10OvvATaaLtwErnr3qtWFcTmtbfpFEt5Bsqel9sXx0uE/edit?usp=sharing"",""งานกองทุน!K82"")"),41479.95)</f>
        <v>41479.949999999997</v>
      </c>
      <c r="K781" s="46">
        <f t="shared" ca="1" si="466"/>
        <v>5.70619833377157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199"/>
      <c r="C782" s="199"/>
      <c r="D782" s="159"/>
      <c r="E782" s="199"/>
      <c r="F782" s="199"/>
      <c r="G782" s="42"/>
      <c r="H782" s="43" t="s">
        <v>35</v>
      </c>
      <c r="I782" s="152">
        <f ca="1">IFERROR(__xludf.DUMMYFUNCTION("IMPORTRANGE(""https://docs.google.com/spreadsheets/d/10OvvATaaLtwErnr3qtWFcTmtbfpFEt5Bsqel9sXx0uE/edit?usp=sharing"",""งานกองทุน!H82"")"),50)</f>
        <v>50</v>
      </c>
      <c r="J782" s="152">
        <f ca="1">IFERROR(__xludf.DUMMYFUNCTION("IMPORTRANGE(""https://docs.google.com/spreadsheets/d/10OvvATaaLtwErnr3qtWFcTmtbfpFEt5Bsqel9sXx0uE/edit?usp=sharing"",""งานกองทุน!J82"")"),26)</f>
        <v>26</v>
      </c>
      <c r="K782" s="46">
        <f t="shared" ca="1" si="466"/>
        <v>52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270" t="s">
        <v>294</v>
      </c>
      <c r="C783" s="199"/>
      <c r="D783" s="159"/>
      <c r="E783" s="199"/>
      <c r="F783" s="199"/>
      <c r="G783" s="42"/>
      <c r="H783" s="43" t="s">
        <v>14</v>
      </c>
      <c r="I783" s="152">
        <f ca="1">IFERROR(__xludf.DUMMYFUNCTION("IMPORTRANGE(""https://docs.google.com/spreadsheets/d/10OvvATaaLtwErnr3qtWFcTmtbfpFEt5Bsqel9sXx0uE/edit?usp=sharing"",""งานกองทุน!N82"")"),0)</f>
        <v>0</v>
      </c>
      <c r="J783" s="152">
        <f ca="1">IFERROR(__xludf.DUMMYFUNCTION("IMPORTRANGE(""https://docs.google.com/spreadsheets/d/10OvvATaaLtwErnr3qtWFcTmtbfpFEt5Bsqel9sXx0uE/edit?usp=sharing"",""งานกองทุน!P82"")"),0)</f>
        <v>0</v>
      </c>
      <c r="K783" s="46">
        <f t="shared" ca="1" si="466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199"/>
      <c r="C784" s="199"/>
      <c r="D784" s="159"/>
      <c r="E784" s="199"/>
      <c r="F784" s="199"/>
      <c r="G784" s="42"/>
      <c r="H784" s="43" t="s">
        <v>35</v>
      </c>
      <c r="I784" s="152">
        <f ca="1">IFERROR(__xludf.DUMMYFUNCTION("IMPORTRANGE(""https://docs.google.com/spreadsheets/d/10OvvATaaLtwErnr3qtWFcTmtbfpFEt5Bsqel9sXx0uE/edit?usp=sharing"",""งานกองทุน!M82"")"),0)</f>
        <v>0</v>
      </c>
      <c r="J784" s="152">
        <f ca="1">IFERROR(__xludf.DUMMYFUNCTION("IMPORTRANGE(""https://docs.google.com/spreadsheets/d/10OvvATaaLtwErnr3qtWFcTmtbfpFEt5Bsqel9sXx0uE/edit?usp=sharing"",""งานกองทุน!O82"")"),0)</f>
        <v>0</v>
      </c>
      <c r="K784" s="46">
        <f t="shared" ca="1" si="466"/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9"/>
      <c r="B785" s="270" t="s">
        <v>295</v>
      </c>
      <c r="C785" s="199"/>
      <c r="D785" s="159"/>
      <c r="E785" s="199"/>
      <c r="F785" s="199"/>
      <c r="G785" s="42"/>
      <c r="H785" s="43" t="s">
        <v>14</v>
      </c>
      <c r="I785" s="152">
        <f ca="1">IFERROR(__xludf.DUMMYFUNCTION("IMPORTRANGE(""https://docs.google.com/spreadsheets/d/10OvvATaaLtwErnr3qtWFcTmtbfpFEt5Bsqel9sXx0uE/edit?usp=sharing"",""งานกองทุน!S82"")"),1624000)</f>
        <v>1624000</v>
      </c>
      <c r="J785" s="152">
        <f ca="1">IFERROR(__xludf.DUMMYFUNCTION("IMPORTRANGE(""https://docs.google.com/spreadsheets/d/10OvvATaaLtwErnr3qtWFcTmtbfpFEt5Bsqel9sXx0uE/edit?usp=sharing"",""งานกองทุน!U82"")"),0)</f>
        <v>0</v>
      </c>
      <c r="K785" s="46">
        <f t="shared" ca="1" si="466"/>
        <v>0</v>
      </c>
      <c r="L785" s="45"/>
      <c r="M785" s="45"/>
      <c r="N785" s="45"/>
      <c r="O785" s="45"/>
      <c r="P785" s="45"/>
      <c r="Q785" s="45"/>
      <c r="R785" s="45"/>
      <c r="S785" s="45"/>
      <c r="T785" s="45"/>
      <c r="U785" s="45"/>
    </row>
    <row r="786" spans="1:21" ht="18.75" x14ac:dyDescent="0.25">
      <c r="A786" s="50"/>
      <c r="B786" s="2"/>
      <c r="C786" s="2"/>
      <c r="D786" s="4"/>
      <c r="E786" s="2"/>
      <c r="F786" s="2"/>
      <c r="G786" s="52"/>
      <c r="H786" s="53" t="s">
        <v>35</v>
      </c>
      <c r="I786" s="204">
        <f ca="1">IFERROR(__xludf.DUMMYFUNCTION("IMPORTRANGE(""https://docs.google.com/spreadsheets/d/10OvvATaaLtwErnr3qtWFcTmtbfpFEt5Bsqel9sXx0uE/edit?usp=sharing"",""งานกองทุน!R82"")"),58)</f>
        <v>58</v>
      </c>
      <c r="J786" s="204">
        <f ca="1">IFERROR(__xludf.DUMMYFUNCTION("IMPORTRANGE(""https://docs.google.com/spreadsheets/d/10OvvATaaLtwErnr3qtWFcTmtbfpFEt5Bsqel9sXx0uE/edit?usp=sharing"",""งานกองทุน!T82"")"),0)</f>
        <v>0</v>
      </c>
      <c r="K786" s="110">
        <f t="shared" ca="1" si="466"/>
        <v>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x14ac:dyDescent="0.2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760" t="s">
        <v>296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7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มี.ค. 67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  <row r="790" spans="1:21" ht="16.5" x14ac:dyDescent="0.25">
      <c r="A790" s="7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เม.ย. 67 เวลา 17.09 น.</v>
      </c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</row>
  </sheetData>
  <mergeCells count="26">
    <mergeCell ref="D715:G715"/>
    <mergeCell ref="D729:G729"/>
    <mergeCell ref="D761:G761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1" fitToHeight="0" orientation="portrait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2024-04-09T08:10:46Z</dcterms:modified>
</cp:coreProperties>
</file>